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320FA4A2-9C05-4BCC-891E-F3BF98805E5C}" xr6:coauthVersionLast="47" xr6:coauthVersionMax="47" xr10:uidLastSave="{00000000-0000-0000-0000-000000000000}"/>
  <bookViews>
    <workbookView xWindow="-110" yWindow="-110" windowWidth="19420" windowHeight="11500" tabRatio="681" activeTab="1" xr2:uid="{00000000-000D-0000-FFFF-FFFF00000000}"/>
  </bookViews>
  <sheets>
    <sheet name="MMV" sheetId="10" r:id="rId1"/>
    <sheet name="AMPE-MCVE" sheetId="8"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9" i="10" l="1"/>
  <c r="D139" i="10" s="1"/>
  <c r="I138" i="8"/>
  <c r="J138" i="8"/>
  <c r="K138" i="8"/>
  <c r="O138" i="8"/>
  <c r="R138" i="8" s="1"/>
  <c r="P138" i="8"/>
  <c r="Q138" i="8"/>
  <c r="R137" i="8"/>
  <c r="Q137" i="8"/>
  <c r="P137" i="8"/>
  <c r="O137" i="8"/>
  <c r="K137" i="8"/>
  <c r="J137" i="8"/>
  <c r="I137" i="8"/>
  <c r="K136" i="8"/>
  <c r="J136" i="8"/>
  <c r="I136" i="8"/>
  <c r="Q136" i="8"/>
  <c r="P136" i="8"/>
  <c r="O136" i="8"/>
  <c r="R136" i="8" s="1"/>
  <c r="Q135" i="8"/>
  <c r="P135" i="8"/>
  <c r="K135" i="8"/>
  <c r="J135" i="8"/>
  <c r="I135" i="8"/>
  <c r="O135" i="8"/>
  <c r="R135" i="8" s="1"/>
  <c r="I134" i="8"/>
  <c r="J134" i="8"/>
  <c r="K134" i="8"/>
  <c r="P134" i="8"/>
  <c r="N134" i="8"/>
  <c r="Q134" i="8" s="1"/>
  <c r="O134" i="8"/>
  <c r="R134" i="8" s="1"/>
  <c r="P133" i="8"/>
  <c r="K133" i="8"/>
  <c r="J133" i="8"/>
  <c r="I133" i="8"/>
  <c r="N133" i="8"/>
  <c r="Q133" i="8" s="1"/>
  <c r="C138" i="8" l="1"/>
  <c r="D138" i="8"/>
  <c r="C137" i="8"/>
  <c r="D137" i="8"/>
  <c r="C136" i="8"/>
  <c r="D136" i="8"/>
  <c r="C135" i="8"/>
  <c r="D135" i="8"/>
  <c r="D134" i="8"/>
  <c r="C134" i="8"/>
  <c r="C135" i="10" s="1"/>
  <c r="O133" i="8"/>
  <c r="R133" i="8" s="1"/>
  <c r="N132" i="8"/>
  <c r="C136" i="10" l="1"/>
  <c r="C138" i="10"/>
  <c r="D138" i="10" s="1"/>
  <c r="C137" i="10"/>
  <c r="D137" i="10" s="1"/>
  <c r="D136" i="10"/>
  <c r="C133" i="8"/>
  <c r="D133" i="8"/>
  <c r="O132" i="8"/>
  <c r="C134" i="10" l="1"/>
  <c r="D135" i="10" s="1"/>
  <c r="I132" i="8"/>
  <c r="J132" i="8"/>
  <c r="K132" i="8"/>
  <c r="Q132" i="8"/>
  <c r="R132" i="8"/>
  <c r="P132" i="8"/>
  <c r="N131" i="8"/>
  <c r="D132" i="8" l="1"/>
  <c r="C132" i="8"/>
  <c r="O131" i="8"/>
  <c r="I131" i="8"/>
  <c r="J131" i="8"/>
  <c r="K131" i="8"/>
  <c r="Q131" i="8"/>
  <c r="R131" i="8"/>
  <c r="P131" i="8"/>
  <c r="C133" i="10" l="1"/>
  <c r="D134" i="10" s="1"/>
  <c r="C131" i="8"/>
  <c r="D131" i="8"/>
  <c r="P130" i="8"/>
  <c r="N130" i="8"/>
  <c r="Q130" i="8" s="1"/>
  <c r="C132" i="10" l="1"/>
  <c r="D133" i="10" s="1"/>
  <c r="K130" i="8"/>
  <c r="J130" i="8"/>
  <c r="I130" i="8"/>
  <c r="C130" i="8" l="1"/>
  <c r="O130" i="8" l="1"/>
  <c r="R130" i="8" s="1"/>
  <c r="D130" i="8" s="1"/>
  <c r="C131" i="10" s="1"/>
  <c r="D132" i="10" s="1"/>
  <c r="O129" i="8" l="1"/>
  <c r="N126" i="8"/>
  <c r="N129" i="8"/>
  <c r="I129" i="8" l="1"/>
  <c r="J129" i="8"/>
  <c r="K129" i="8"/>
  <c r="Q129" i="8"/>
  <c r="R129" i="8"/>
  <c r="P129" i="8"/>
  <c r="P128" i="8"/>
  <c r="O128" i="8"/>
  <c r="R128" i="8" s="1"/>
  <c r="K128" i="8"/>
  <c r="J128" i="8"/>
  <c r="I128" i="8"/>
  <c r="C129" i="8" l="1"/>
  <c r="D129" i="8"/>
  <c r="N128" i="8"/>
  <c r="Q128" i="8" s="1"/>
  <c r="C130" i="10" l="1"/>
  <c r="D131" i="10" s="1"/>
  <c r="N127" i="8"/>
  <c r="Q127" i="8" s="1"/>
  <c r="Q126" i="8"/>
  <c r="C128" i="8" l="1"/>
  <c r="D128" i="8"/>
  <c r="I127" i="8"/>
  <c r="J127" i="8"/>
  <c r="K127" i="8"/>
  <c r="P127" i="8"/>
  <c r="C129" i="10" l="1"/>
  <c r="D130" i="10" s="1"/>
  <c r="C127" i="8"/>
  <c r="O127" i="8" l="1"/>
  <c r="R127" i="8" s="1"/>
  <c r="D127" i="8" s="1"/>
  <c r="C128" i="10" l="1"/>
  <c r="D129" i="10" s="1"/>
  <c r="P126" i="8"/>
  <c r="K126" i="8"/>
  <c r="J126" i="8"/>
  <c r="I126" i="8"/>
  <c r="C126" i="8" l="1"/>
  <c r="O126" i="8"/>
  <c r="R126" i="8" s="1"/>
  <c r="D126" i="8" s="1"/>
  <c r="C127" i="10" l="1"/>
  <c r="D128" i="10" s="1"/>
  <c r="O125" i="8"/>
  <c r="N125" i="8"/>
  <c r="N124" i="8"/>
  <c r="I125" i="8" l="1"/>
  <c r="J125" i="8"/>
  <c r="K125" i="8"/>
  <c r="Q125" i="8"/>
  <c r="R125" i="8"/>
  <c r="P125" i="8"/>
  <c r="P124" i="8"/>
  <c r="C125" i="8" l="1"/>
  <c r="D125" i="8"/>
  <c r="N123" i="8"/>
  <c r="C126" i="10" l="1"/>
  <c r="D127" i="10" s="1"/>
  <c r="Q124" i="8"/>
  <c r="I124" i="8"/>
  <c r="J124" i="8"/>
  <c r="K124" i="8"/>
  <c r="O124" i="8"/>
  <c r="R124" i="8" s="1"/>
  <c r="D124" i="8" l="1"/>
  <c r="C124" i="8"/>
  <c r="N122" i="8"/>
  <c r="C125" i="10" l="1"/>
  <c r="D126" i="10" s="1"/>
  <c r="I123" i="8"/>
  <c r="J123" i="8"/>
  <c r="K123" i="8"/>
  <c r="Q123" i="8"/>
  <c r="O123" i="8"/>
  <c r="R123" i="8" s="1"/>
  <c r="P123" i="8"/>
  <c r="Q122" i="8"/>
  <c r="D123" i="8" l="1"/>
  <c r="C123" i="8"/>
  <c r="J122" i="8"/>
  <c r="C124" i="10" l="1"/>
  <c r="D125" i="10" s="1"/>
  <c r="O122" i="8"/>
  <c r="I122" i="8"/>
  <c r="K122" i="8"/>
  <c r="R122" i="8"/>
  <c r="P122" i="8"/>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N113" i="8"/>
  <c r="N114" i="8"/>
  <c r="N115" i="8"/>
  <c r="N116" i="8"/>
  <c r="C118" i="10" l="1"/>
  <c r="D119" i="10" s="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66"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<sst xmlns="http://schemas.openxmlformats.org/spreadsheetml/2006/main" count="160" uniqueCount="67">
  <si>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</si>
  <si>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</si>
  <si>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</si>
  <si>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</si>
  <si>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</si>
  <si>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</si>
  <si>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</si>
  <si>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</si>
  <si>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</si>
  <si>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</si>
  <si>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</si>
  <si>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</si>
  <si>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</si>
  <si>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</si>
  <si>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</si>
  <si>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</si>
  <si>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</si>
  <si>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</si>
  <si>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</si>
  <si>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</si>
  <si>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</si>
  <si>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</si>
  <si>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</si>
  <si>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</si>
  <si>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</si>
  <si>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</si>
  <si>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</si>
  <si>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</si>
  <si>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</si>
  <si>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</si>
  <si>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</si>
  <si>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</si>
  <si>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</si>
  <si>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</si>
  <si>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</si>
  <si>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</si>
  <si>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</si>
  <si>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</si>
  <si>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</si>
  <si>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</si>
  <si>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</si>
  <si>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</si>
  <si>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</si>
  <si>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</si>
  <si>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</si>
  <si>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</si>
  <si>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</si>
  <si>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</si>
  <si>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</si>
  <si>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</si>
  <si>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</si>
  <si>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</si>
  <si>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</si>
  <si>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</si>
  <si>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t>Notes: Processing costs were updated in 2020 and used for historic prices back to April 2015.</t>
  </si>
  <si>
    <t>From Dec-21 processing costs are being updated quarterly based on changes in the cost of labour, energy and general inflation.</t>
  </si>
  <si>
    <r>
      <rPr>
        <b/>
        <sz val="12"/>
        <color rgb="FF575756"/>
        <rFont val="Arial"/>
        <family val="2"/>
      </rPr>
      <t xml:space="preserve">Last updated: </t>
    </r>
    <r>
      <rPr>
        <sz val="12"/>
        <color rgb="FF575756"/>
        <rFont val="Arial"/>
        <family val="2"/>
      </rPr>
      <t>25/01/2022</t>
    </r>
  </si>
  <si>
    <t>NO LONGER UPDATED / PUBLISHED</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</si>
  <si>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</si>
  <si>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</si>
  <si>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r>
      <rPr>
        <b/>
        <sz val="12"/>
        <color rgb="FF575756"/>
        <rFont val="Arial"/>
        <family val="2"/>
      </rPr>
      <t xml:space="preserve">Last updated: </t>
    </r>
    <r>
      <rPr>
        <sz val="12"/>
        <color rgb="FF575756"/>
        <rFont val="Arial"/>
        <family val="2"/>
      </rPr>
      <t>24/04/2025</t>
    </r>
  </si>
  <si>
    <t>Actual Milk Price Equivalent (AMPE) and Milk for Cheese Value Equivalent (MCVE): 2020 formula</t>
  </si>
  <si>
    <t>From September 2025 the dairy market indicators have been reviewed to update costs and yields.  The old formula will continue to be published for a period no shorter than 6 months for continuity.</t>
  </si>
  <si>
    <r>
      <rPr>
        <b/>
        <sz val="12"/>
        <color rgb="FF575756"/>
        <rFont val="Arial"/>
        <family val="2"/>
      </rPr>
      <t>Last updated:</t>
    </r>
    <r>
      <rPr>
        <sz val="12"/>
        <color rgb="FF575756"/>
        <rFont val="Arial"/>
        <family val="2"/>
      </rPr>
      <t xml:space="preserve"> 25/01/2026</t>
    </r>
  </si>
  <si>
    <r>
      <rPr>
        <b/>
        <sz val="12"/>
        <color rgb="FF575756"/>
        <rFont val="Arial"/>
        <family val="2"/>
      </rPr>
      <t xml:space="preserve">Last updated: </t>
    </r>
    <r>
      <rPr>
        <sz val="12"/>
        <color rgb="FF575756"/>
        <rFont val="Arial"/>
        <family val="2"/>
      </rPr>
      <t>25/01/2026</t>
    </r>
  </si>
  <si>
    <t>©Agriculture and Horticulture Development Board 2026. All rights reserved.</t>
  </si>
  <si>
    <t>Notes: * Processing costs have been updated from each of the marked months, based on changes in the cost of labour, energy and general inflation. Costs will no longer be updated as 2020 formula is obsolete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</si>
</sst>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1">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4" fontId="16" fillId="3" borderId="0" xfId="13" applyFont="1" applyFill="1">
      <alignment horizontal="left" vertical="top"/>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17" fontId="11" fillId="3" borderId="0" xfId="4" applyNumberFormat="1" applyFont="1" applyFill="1" applyBorder="1" applyAlignment="1">
      <alignment horizontal="left" vertical="center"/>
    </xf>
    <xf numFmtId="166" fontId="11" fillId="3" borderId="1" xfId="4" applyNumberFormat="1" applyFont="1" applyFill="1" applyAlignment="1">
      <alignment horizontal="right" vertical="center"/>
    </xf>
    <xf numFmtId="3" fontId="11" fillId="3" borderId="1" xfId="4" applyNumberFormat="1" applyFont="1" applyFill="1" applyAlignment="1">
      <alignment horizontal="right" vertical="center"/>
    </xf>
    <xf numFmtId="4" fontId="1" fillId="3" borderId="0" xfId="0" applyFont="1" applyFill="1">
      <alignment horizontal="left" vertical="top"/>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xf numFmtId="4" fontId="1" fillId="3" borderId="0" xfId="13" applyFont="1" applyFill="1" applyAlignment="1">
      <alignment horizontal="left" vertical="top" wrapText="1"/>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2020 formula</a:t>
            </a:r>
            <a:endParaRPr lang="en-GB" b="1"/>
          </a:p>
        </c:rich>
      </c:tx>
      <c:layout>
        <c:manualLayout>
          <c:xMode val="edge"/>
          <c:yMode val="edge"/>
          <c:x val="0.35828317901234569"/>
          <c:y val="2.0578703703703703E-2"/>
        </c:manualLayout>
      </c:layout>
      <c:overlay val="0"/>
      <c:spPr>
        <a:noFill/>
        <a:ln w="25400">
          <a:noFill/>
        </a:ln>
      </c:spPr>
    </c:title>
    <c:autoTitleDeleted val="0"/>
    <c:plotArea>
      <c:layout>
        <c:manualLayout>
          <c:layoutTarget val="inner"/>
          <c:xMode val="edge"/>
          <c:yMode val="edge"/>
          <c:x val="8.7657108236786907E-2"/>
          <c:y val="0.13993818736269892"/>
          <c:w val="0.88138179012345674"/>
          <c:h val="0.65117420470888787"/>
        </c:manualLayout>
      </c:layout>
      <c:lineChart>
        <c:grouping val="standard"/>
        <c:varyColors val="0"/>
        <c:ser>
          <c:idx val="0"/>
          <c:order val="0"/>
          <c:tx>
            <c:strRef>
              <c:f>'AMPE-MCVE'!$C$7</c:f>
              <c:strCache>
                <c:ptCount val="1"/>
                <c:pt idx="0">
                  <c:v>AMPE</c:v>
                </c:pt>
              </c:strCache>
            </c:strRef>
          </c:tx>
          <c:spPr>
            <a:ln w="28575"/>
          </c:spPr>
          <c:marker>
            <c:symbol val="none"/>
          </c:marker>
          <c:cat>
            <c:numRef>
              <c:f>'AMPE-MCVE'!$B$9:$B$138</c:f>
              <c:numCache>
                <c:formatCode>mmm\-yy</c:formatCode>
                <c:ptCount val="130"/>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numCache>
            </c:numRef>
          </c:cat>
          <c:val>
            <c:numRef>
              <c:f>'AMPE-MCVE'!$C$9:$C$138</c:f>
              <c:numCache>
                <c:formatCode>#,##0.0</c:formatCode>
                <c:ptCount val="130"/>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47.149027089053895</c:v>
                </c:pt>
                <c:pt idx="114">
                  <c:v>45.485979514375082</c:v>
                </c:pt>
                <c:pt idx="115">
                  <c:v>46.215459078484066</c:v>
                </c:pt>
                <c:pt idx="116">
                  <c:v>45.388852640082959</c:v>
                </c:pt>
                <c:pt idx="117">
                  <c:v>44.01254105768119</c:v>
                </c:pt>
                <c:pt idx="118">
                  <c:v>41.995212160535786</c:v>
                </c:pt>
                <c:pt idx="119">
                  <c:v>42.66095620585412</c:v>
                </c:pt>
                <c:pt idx="120">
                  <c:v>42.092795711142735</c:v>
                </c:pt>
                <c:pt idx="121">
                  <c:v>42.048607074181746</c:v>
                </c:pt>
                <c:pt idx="122">
                  <c:v>42.641550096275942</c:v>
                </c:pt>
                <c:pt idx="123">
                  <c:v>42.469594795808753</c:v>
                </c:pt>
                <c:pt idx="124">
                  <c:v>42.160773340234179</c:v>
                </c:pt>
                <c:pt idx="125">
                  <c:v>38.781496727716878</c:v>
                </c:pt>
                <c:pt idx="126">
                  <c:v>33.556203233240005</c:v>
                </c:pt>
                <c:pt idx="127">
                  <c:v>31.370637659327517</c:v>
                </c:pt>
                <c:pt idx="128">
                  <c:v>27.755693089478982</c:v>
                </c:pt>
                <c:pt idx="129">
                  <c:v>27.978495586133953</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'AMPE-MCVE'!$B$9:$B$138</c:f>
              <c:numCache>
                <c:formatCode>mmm\-yy</c:formatCode>
                <c:ptCount val="130"/>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numCache>
            </c:numRef>
          </c:cat>
          <c:val>
            <c:numRef>
              <c:f>'AMPE-MCVE'!$D$9:$D$138</c:f>
              <c:numCache>
                <c:formatCode>#,##0.0</c:formatCode>
                <c:ptCount val="130"/>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44.908940000816735</c:v>
                </c:pt>
                <c:pt idx="114">
                  <c:v>46.593780309144165</c:v>
                </c:pt>
                <c:pt idx="115">
                  <c:v>45.492016666853175</c:v>
                </c:pt>
                <c:pt idx="116">
                  <c:v>44.400510877929086</c:v>
                </c:pt>
                <c:pt idx="117">
                  <c:v>43.520243972242838</c:v>
                </c:pt>
                <c:pt idx="118">
                  <c:v>43.246118358836782</c:v>
                </c:pt>
                <c:pt idx="119">
                  <c:v>44.058692342822617</c:v>
                </c:pt>
                <c:pt idx="120">
                  <c:v>43.902428951535079</c:v>
                </c:pt>
                <c:pt idx="121">
                  <c:v>42.950444838237843</c:v>
                </c:pt>
                <c:pt idx="122">
                  <c:v>42.405954961210085</c:v>
                </c:pt>
                <c:pt idx="123">
                  <c:v>42.104960695939738</c:v>
                </c:pt>
                <c:pt idx="124">
                  <c:v>41.503896562002637</c:v>
                </c:pt>
                <c:pt idx="125">
                  <c:v>36.826536988393791</c:v>
                </c:pt>
                <c:pt idx="126">
                  <c:v>33.062247170092945</c:v>
                </c:pt>
                <c:pt idx="127">
                  <c:v>31.475148625290291</c:v>
                </c:pt>
                <c:pt idx="128">
                  <c:v>29.925327014157158</c:v>
                </c:pt>
                <c:pt idx="129">
                  <c:v>30.363015453948709</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6023"/>
          <c:min val="44927"/>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 2020 formula </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MMV!$B$10:$B$202</c:f>
              <c:numCache>
                <c:formatCode>mmm\-yy</c:formatCode>
                <c:ptCount val="19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numCache>
            </c:numRef>
          </c:cat>
          <c:val>
            <c:numRef>
              <c:f>MMV!$C$10:$C$202</c:f>
              <c:numCache>
                <c:formatCode>0.0</c:formatCode>
                <c:ptCount val="193"/>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45.356957418464162</c:v>
                </c:pt>
                <c:pt idx="114">
                  <c:v>46.372220150190351</c:v>
                </c:pt>
                <c:pt idx="115">
                  <c:v>45.636705149179356</c:v>
                </c:pt>
                <c:pt idx="116">
                  <c:v>44.598179230359861</c:v>
                </c:pt>
                <c:pt idx="117">
                  <c:v>43.618703389330506</c:v>
                </c:pt>
                <c:pt idx="118">
                  <c:v>42.995937119176588</c:v>
                </c:pt>
                <c:pt idx="119">
                  <c:v>43.779145115428918</c:v>
                </c:pt>
                <c:pt idx="120">
                  <c:v>43.540502303456613</c:v>
                </c:pt>
                <c:pt idx="121">
                  <c:v>42.770077285426623</c:v>
                </c:pt>
                <c:pt idx="122">
                  <c:v>42.45307398822326</c:v>
                </c:pt>
                <c:pt idx="123">
                  <c:v>42.177887515913547</c:v>
                </c:pt>
                <c:pt idx="124">
                  <c:v>41.635271917648943</c:v>
                </c:pt>
                <c:pt idx="125">
                  <c:v>37.217528936258411</c:v>
                </c:pt>
                <c:pt idx="126">
                  <c:v>33.16103838272236</c:v>
                </c:pt>
                <c:pt idx="127">
                  <c:v>31.454246432097737</c:v>
                </c:pt>
                <c:pt idx="128">
                  <c:v>29.491400229221526</c:v>
                </c:pt>
                <c:pt idx="129">
                  <c:v>29.886111480385757</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6023"/>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28097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0.84127</cdr:x>
      <cdr:y>0.01176</cdr:y>
    </cdr:from>
    <cdr:to>
      <cdr:x>1</cdr:x>
      <cdr:y>0.11978</cdr:y>
    </cdr:to>
    <cdr:pic>
      <cdr:nvPicPr>
        <cdr:cNvPr id="2" name="Picture 1">
          <a:extLst xmlns:a="http://schemas.openxmlformats.org/drawingml/2006/main">
            <a:ext uri="{FF2B5EF4-FFF2-40B4-BE49-F238E27FC236}">
              <a16:creationId xmlns:a16="http://schemas.microsoft.com/office/drawing/2014/main" id="{02E40AAC-EEF8-42E2-9EA0-098B55BAD9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30" y="50800"/>
          <a:ext cx="1028570" cy="466646"/>
        </a:xfrm>
        <a:prstGeom xmlns:a="http://schemas.openxmlformats.org/drawingml/2006/main" prst="rect">
          <a:avLst/>
        </a:prstGeom>
      </cdr:spPr>
    </cdr:pic>
  </cdr:relSizeAnchor>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330517</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20900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29190</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29190</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29155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325801</xdr:colOff>
      <xdr:row>1</xdr:row>
      <xdr:rowOff>49803</xdr:rowOff>
    </xdr:from>
    <xdr:to>
      <xdr:col>11</xdr:col>
      <xdr:colOff>92231</xdr:colOff>
      <xdr:row>28</xdr:row>
      <xdr:rowOff>83553</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39"/>
  <sheetViews>
    <sheetView zoomScaleNormal="100" workbookViewId="0">
      <pane xSplit="2" ySplit="9" topLeftCell="C134" activePane="bottomRight" state="frozen"/>
      <selection pane="topRight" activeCell="C1" sqref="C1"/>
      <selection pane="bottomLeft" activeCell="A10" sqref="A10"/>
      <selection pane="bottomRight" activeCell="A6" sqref="A6"/>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63</v>
      </c>
    </row>
    <row r="8" spans="1:4" ht="15.5" x14ac:dyDescent="0.3">
      <c r="B8" s="18"/>
      <c r="C8" s="97" t="s">
        <v>38</v>
      </c>
      <c r="D8" s="98"/>
    </row>
    <row r="9" spans="1:4" ht="46.5" x14ac:dyDescent="0.3">
      <c r="B9" s="18"/>
      <c r="C9" s="76" t="s">
        <v>41</v>
      </c>
      <c r="D9" s="77" t="s">
        <v>42</v>
      </c>
    </row>
    <row r="10" spans="1:4" ht="15.5" x14ac:dyDescent="0.3">
      <c r="B10" s="42">
        <v>42095</v>
      </c>
      <c r="C10" s="82">
        <v>23.583438102261695</v>
      </c>
      <c r="D10" s="37"/>
    </row>
    <row r="11" spans="1:4" ht="15.5" x14ac:dyDescent="0.3">
      <c r="B11" s="41">
        <v>42125</v>
      </c>
      <c r="C11" s="83">
        <v>23.107135021791638</v>
      </c>
      <c r="D11" s="34">
        <f>C11-C10</f>
        <v>-0.47630308047005698</v>
      </c>
    </row>
    <row r="12" spans="1:4" ht="15.5" x14ac:dyDescent="0.3">
      <c r="B12" s="42">
        <v>42156</v>
      </c>
      <c r="C12" s="82">
        <v>22.661023512168438</v>
      </c>
      <c r="D12" s="37">
        <f t="shared" ref="D12:D75" si="0">C12-C11</f>
        <v>-0.44611150962320067</v>
      </c>
    </row>
    <row r="13" spans="1:4" ht="15.5" x14ac:dyDescent="0.3">
      <c r="B13" s="41">
        <v>42186</v>
      </c>
      <c r="C13" s="83">
        <v>21.405033024348061</v>
      </c>
      <c r="D13" s="34">
        <f t="shared" si="0"/>
        <v>-1.2559904878203767</v>
      </c>
    </row>
    <row r="14" spans="1:4" ht="15.5" x14ac:dyDescent="0.3">
      <c r="B14" s="42">
        <v>42217</v>
      </c>
      <c r="C14" s="82">
        <v>19.195255581268434</v>
      </c>
      <c r="D14" s="37">
        <f t="shared" si="0"/>
        <v>-2.2097774430796271</v>
      </c>
    </row>
    <row r="15" spans="1:4" ht="15.5" x14ac:dyDescent="0.3">
      <c r="B15" s="41">
        <v>42248</v>
      </c>
      <c r="C15" s="83">
        <v>19.619037495162189</v>
      </c>
      <c r="D15" s="34">
        <f t="shared" si="0"/>
        <v>0.4237819138937553</v>
      </c>
    </row>
    <row r="16" spans="1:4" ht="15.5" x14ac:dyDescent="0.3">
      <c r="B16" s="42">
        <v>42278</v>
      </c>
      <c r="C16" s="82">
        <v>20.124609867865551</v>
      </c>
      <c r="D16" s="37">
        <f t="shared" si="0"/>
        <v>0.5055723727033623</v>
      </c>
    </row>
    <row r="17" spans="2:4" ht="15.5" x14ac:dyDescent="0.3">
      <c r="B17" s="41">
        <v>42309</v>
      </c>
      <c r="C17" s="83">
        <v>18.486262911367664</v>
      </c>
      <c r="D17" s="34">
        <f t="shared" si="0"/>
        <v>-1.6383469564978874</v>
      </c>
    </row>
    <row r="18" spans="2:4" ht="15.5" x14ac:dyDescent="0.3">
      <c r="B18" s="42">
        <v>42339</v>
      </c>
      <c r="C18" s="82">
        <v>18.352001038909002</v>
      </c>
      <c r="D18" s="37">
        <f t="shared" si="0"/>
        <v>-0.13426187245866217</v>
      </c>
    </row>
    <row r="19" spans="2:4" ht="15.5" x14ac:dyDescent="0.3">
      <c r="B19" s="41">
        <v>42370</v>
      </c>
      <c r="C19" s="83">
        <v>17.399139290732172</v>
      </c>
      <c r="D19" s="34">
        <f t="shared" si="0"/>
        <v>-0.95286174817682934</v>
      </c>
    </row>
    <row r="20" spans="2:4" ht="15.5" x14ac:dyDescent="0.3">
      <c r="B20" s="42">
        <v>42401</v>
      </c>
      <c r="C20" s="82">
        <v>17.127135604432262</v>
      </c>
      <c r="D20" s="37">
        <f t="shared" si="0"/>
        <v>-0.2720036862999109</v>
      </c>
    </row>
    <row r="21" spans="2:4" ht="15.5" x14ac:dyDescent="0.3">
      <c r="B21" s="41">
        <v>42430</v>
      </c>
      <c r="C21" s="83">
        <v>16.072860274558927</v>
      </c>
      <c r="D21" s="34">
        <f t="shared" si="0"/>
        <v>-1.0542753298733345</v>
      </c>
    </row>
    <row r="22" spans="2:4" ht="15.5" x14ac:dyDescent="0.3">
      <c r="B22" s="42">
        <v>42461</v>
      </c>
      <c r="C22" s="82">
        <v>15.663095213559561</v>
      </c>
      <c r="D22" s="37">
        <f t="shared" si="0"/>
        <v>-0.40976506099936572</v>
      </c>
    </row>
    <row r="23" spans="2:4" ht="15.5" x14ac:dyDescent="0.3">
      <c r="B23" s="41">
        <v>42491</v>
      </c>
      <c r="C23" s="83">
        <v>16.61067827316824</v>
      </c>
      <c r="D23" s="34">
        <f t="shared" si="0"/>
        <v>0.94758305960867872</v>
      </c>
    </row>
    <row r="24" spans="2:4" ht="15.5" x14ac:dyDescent="0.3">
      <c r="B24" s="42">
        <v>42522</v>
      </c>
      <c r="C24" s="82">
        <v>19.491217211027774</v>
      </c>
      <c r="D24" s="37">
        <f t="shared" si="0"/>
        <v>2.8805389378595336</v>
      </c>
    </row>
    <row r="25" spans="2:4" ht="15.5" x14ac:dyDescent="0.3">
      <c r="B25" s="41">
        <v>42552</v>
      </c>
      <c r="C25" s="83">
        <v>23.50852206430153</v>
      </c>
      <c r="D25" s="34">
        <f t="shared" si="0"/>
        <v>4.0173048532737567</v>
      </c>
    </row>
    <row r="26" spans="2:4" ht="15.5" x14ac:dyDescent="0.3">
      <c r="B26" s="42">
        <v>42583</v>
      </c>
      <c r="C26" s="82">
        <v>27.618778168032676</v>
      </c>
      <c r="D26" s="37">
        <f t="shared" si="0"/>
        <v>4.110256103731146</v>
      </c>
    </row>
    <row r="27" spans="2:4" ht="15.5" x14ac:dyDescent="0.3">
      <c r="B27" s="41">
        <v>42614</v>
      </c>
      <c r="C27" s="83">
        <v>31.613683434457585</v>
      </c>
      <c r="D27" s="34">
        <f t="shared" si="0"/>
        <v>3.9949052664249081</v>
      </c>
    </row>
    <row r="28" spans="2:4" ht="15.5" x14ac:dyDescent="0.3">
      <c r="B28" s="42">
        <v>42644</v>
      </c>
      <c r="C28" s="82">
        <v>33.41964173255608</v>
      </c>
      <c r="D28" s="37">
        <f t="shared" si="0"/>
        <v>1.8059582980984956</v>
      </c>
    </row>
    <row r="29" spans="2:4" ht="15.5" x14ac:dyDescent="0.3">
      <c r="B29" s="41">
        <v>42675</v>
      </c>
      <c r="C29" s="83">
        <v>33.238706462298026</v>
      </c>
      <c r="D29" s="34">
        <f t="shared" si="0"/>
        <v>-0.180935270258054</v>
      </c>
    </row>
    <row r="30" spans="2:4" ht="15.5" x14ac:dyDescent="0.3">
      <c r="B30" s="42">
        <v>42705</v>
      </c>
      <c r="C30" s="82">
        <v>33.023307899129314</v>
      </c>
      <c r="D30" s="37">
        <f t="shared" si="0"/>
        <v>-0.21539856316871209</v>
      </c>
    </row>
    <row r="31" spans="2:4" ht="15.5" x14ac:dyDescent="0.3">
      <c r="B31" s="41">
        <v>42736</v>
      </c>
      <c r="C31" s="83">
        <v>33.064114564195897</v>
      </c>
      <c r="D31" s="34">
        <f t="shared" si="0"/>
        <v>4.0806665066583037E-2</v>
      </c>
    </row>
    <row r="32" spans="2:4" ht="15.5" x14ac:dyDescent="0.3">
      <c r="B32" s="42">
        <v>42767</v>
      </c>
      <c r="C32" s="82">
        <v>31.473979575974866</v>
      </c>
      <c r="D32" s="37">
        <f t="shared" si="0"/>
        <v>-1.5901349882210312</v>
      </c>
    </row>
    <row r="33" spans="2:4" ht="15.5" x14ac:dyDescent="0.3">
      <c r="B33" s="41">
        <v>42795</v>
      </c>
      <c r="C33" s="83">
        <v>31.223895013619796</v>
      </c>
      <c r="D33" s="34">
        <f t="shared" si="0"/>
        <v>-0.25008456235507026</v>
      </c>
    </row>
    <row r="34" spans="2:4" ht="15.5" x14ac:dyDescent="0.3">
      <c r="B34" s="42">
        <v>42826</v>
      </c>
      <c r="C34" s="82">
        <v>30.963559182932279</v>
      </c>
      <c r="D34" s="37">
        <f t="shared" si="0"/>
        <v>-0.26033583068751653</v>
      </c>
    </row>
    <row r="35" spans="2:4" ht="15.5" x14ac:dyDescent="0.3">
      <c r="B35" s="41">
        <v>42856</v>
      </c>
      <c r="C35" s="83">
        <v>32.835124282186086</v>
      </c>
      <c r="D35" s="34">
        <f t="shared" si="0"/>
        <v>1.8715650992538073</v>
      </c>
    </row>
    <row r="36" spans="2:4" ht="15.5" x14ac:dyDescent="0.3">
      <c r="B36" s="42">
        <v>42887</v>
      </c>
      <c r="C36" s="82">
        <v>36.813611749548983</v>
      </c>
      <c r="D36" s="37">
        <f t="shared" si="0"/>
        <v>3.9784874673628963</v>
      </c>
    </row>
    <row r="37" spans="2:4" ht="15.5" x14ac:dyDescent="0.3">
      <c r="B37" s="41">
        <v>42917</v>
      </c>
      <c r="C37" s="83">
        <v>37.052557505550269</v>
      </c>
      <c r="D37" s="34">
        <f t="shared" si="0"/>
        <v>0.23894575600128576</v>
      </c>
    </row>
    <row r="38" spans="2:4" ht="15.5" x14ac:dyDescent="0.3">
      <c r="B38" s="42">
        <v>42948</v>
      </c>
      <c r="C38" s="82">
        <v>38.982239122742783</v>
      </c>
      <c r="D38" s="37">
        <f t="shared" si="0"/>
        <v>1.9296816171925144</v>
      </c>
    </row>
    <row r="39" spans="2:4" ht="15.5" x14ac:dyDescent="0.3">
      <c r="B39" s="41">
        <v>42979</v>
      </c>
      <c r="C39" s="83">
        <v>38.762557790195579</v>
      </c>
      <c r="D39" s="34">
        <f t="shared" si="0"/>
        <v>-0.21968133254720357</v>
      </c>
    </row>
    <row r="40" spans="2:4" ht="15.5" x14ac:dyDescent="0.3">
      <c r="B40" s="42">
        <v>43009</v>
      </c>
      <c r="C40" s="82">
        <v>35.830983315959593</v>
      </c>
      <c r="D40" s="37">
        <f t="shared" si="0"/>
        <v>-2.9315744742359868</v>
      </c>
    </row>
    <row r="41" spans="2:4" ht="15.5" x14ac:dyDescent="0.3">
      <c r="B41" s="41">
        <v>43040</v>
      </c>
      <c r="C41" s="83">
        <v>33.736370944665218</v>
      </c>
      <c r="D41" s="34">
        <f t="shared" si="0"/>
        <v>-2.0946123712943745</v>
      </c>
    </row>
    <row r="42" spans="2:4" ht="15.5" x14ac:dyDescent="0.3">
      <c r="B42" s="42">
        <v>43070</v>
      </c>
      <c r="C42" s="82">
        <v>30.769540374532323</v>
      </c>
      <c r="D42" s="37">
        <f t="shared" si="0"/>
        <v>-2.9668305701328954</v>
      </c>
    </row>
    <row r="43" spans="2:4" ht="15.5" x14ac:dyDescent="0.3">
      <c r="B43" s="41">
        <v>43101</v>
      </c>
      <c r="C43" s="83">
        <v>28.884515254582229</v>
      </c>
      <c r="D43" s="34">
        <f t="shared" si="0"/>
        <v>-1.8850251199500931</v>
      </c>
    </row>
    <row r="44" spans="2:4" ht="15.5" x14ac:dyDescent="0.3">
      <c r="B44" s="42">
        <v>43132</v>
      </c>
      <c r="C44" s="82">
        <v>30.418528017998895</v>
      </c>
      <c r="D44" s="37">
        <f t="shared" si="0"/>
        <v>1.5340127634166656</v>
      </c>
    </row>
    <row r="45" spans="2:4" ht="15.5" x14ac:dyDescent="0.3">
      <c r="B45" s="41">
        <v>43160</v>
      </c>
      <c r="C45" s="83">
        <v>30.17629355516646</v>
      </c>
      <c r="D45" s="34">
        <f t="shared" si="0"/>
        <v>-0.24223446283243533</v>
      </c>
    </row>
    <row r="46" spans="2:4" ht="15.5" x14ac:dyDescent="0.3">
      <c r="B46" s="42">
        <v>43191</v>
      </c>
      <c r="C46" s="82">
        <v>30.885178988235577</v>
      </c>
      <c r="D46" s="37">
        <f t="shared" si="0"/>
        <v>0.708885433069117</v>
      </c>
    </row>
    <row r="47" spans="2:4" ht="15.5" x14ac:dyDescent="0.3">
      <c r="B47" s="41">
        <v>43221</v>
      </c>
      <c r="C47" s="83">
        <v>32.477641593821765</v>
      </c>
      <c r="D47" s="34">
        <f t="shared" si="0"/>
        <v>1.5924626055861886</v>
      </c>
    </row>
    <row r="48" spans="2:4" ht="15.5" x14ac:dyDescent="0.3">
      <c r="B48" s="42">
        <v>43252</v>
      </c>
      <c r="C48" s="82">
        <v>32.864942026653239</v>
      </c>
      <c r="D48" s="37">
        <f t="shared" si="0"/>
        <v>0.38730043283147353</v>
      </c>
    </row>
    <row r="49" spans="2:4" ht="15.5" x14ac:dyDescent="0.3">
      <c r="B49" s="41">
        <v>43282</v>
      </c>
      <c r="C49" s="83">
        <v>33.055662494705061</v>
      </c>
      <c r="D49" s="34">
        <f t="shared" si="0"/>
        <v>0.19072046805182197</v>
      </c>
    </row>
    <row r="50" spans="2:4" ht="15.5" x14ac:dyDescent="0.3">
      <c r="B50" s="42">
        <v>43313</v>
      </c>
      <c r="C50" s="82">
        <v>33.530662317368495</v>
      </c>
      <c r="D50" s="37">
        <f t="shared" si="0"/>
        <v>0.47499982266343466</v>
      </c>
    </row>
    <row r="51" spans="2:4" ht="15.5" x14ac:dyDescent="0.3">
      <c r="B51" s="41">
        <v>43344</v>
      </c>
      <c r="C51" s="83">
        <v>33.273185896293505</v>
      </c>
      <c r="D51" s="34">
        <f t="shared" si="0"/>
        <v>-0.25747642107499047</v>
      </c>
    </row>
    <row r="52" spans="2:4" ht="15.5" x14ac:dyDescent="0.3">
      <c r="B52" s="42">
        <v>43374</v>
      </c>
      <c r="C52" s="82">
        <f>(0.2*'AMPE-MCVE'!C51)+(0.8*'AMPE-MCVE'!D51)</f>
        <v>32.440828444558576</v>
      </c>
      <c r="D52" s="37">
        <f t="shared" si="0"/>
        <v>-0.83235745173492859</v>
      </c>
    </row>
    <row r="53" spans="2:4" ht="15.5" x14ac:dyDescent="0.3">
      <c r="B53" s="41">
        <v>43405</v>
      </c>
      <c r="C53" s="83">
        <f>(0.2*'AMPE-MCVE'!C52)+(0.8*'AMPE-MCVE'!D52)</f>
        <v>30.850367304160251</v>
      </c>
      <c r="D53" s="34">
        <f t="shared" si="0"/>
        <v>-1.5904611403983253</v>
      </c>
    </row>
    <row r="54" spans="2:4" ht="15.5" x14ac:dyDescent="0.3">
      <c r="B54" s="42">
        <v>43435</v>
      </c>
      <c r="C54" s="82">
        <f>(0.2*'AMPE-MCVE'!C53)+(0.8*'AMPE-MCVE'!D53)</f>
        <v>30.918347659183638</v>
      </c>
      <c r="D54" s="37">
        <f t="shared" si="0"/>
        <v>6.7980355023387062E-2</v>
      </c>
    </row>
    <row r="55" spans="2:4" ht="15.5" x14ac:dyDescent="0.3">
      <c r="B55" s="41">
        <v>43466</v>
      </c>
      <c r="C55" s="83">
        <f>(0.2*'AMPE-MCVE'!C54)+(0.8*'AMPE-MCVE'!D54)</f>
        <v>31.920495325488375</v>
      </c>
      <c r="D55" s="34">
        <f t="shared" si="0"/>
        <v>1.0021476663047366</v>
      </c>
    </row>
    <row r="56" spans="2:4" ht="15.5" x14ac:dyDescent="0.3">
      <c r="B56" s="42">
        <v>43497</v>
      </c>
      <c r="C56" s="82">
        <f>(0.2*'AMPE-MCVE'!C55)+(0.8*'AMPE-MCVE'!D55)</f>
        <v>31.602637764670661</v>
      </c>
      <c r="D56" s="37">
        <f t="shared" si="0"/>
        <v>-0.3178575608177141</v>
      </c>
    </row>
    <row r="57" spans="2:4" ht="15.5" x14ac:dyDescent="0.3">
      <c r="B57" s="41">
        <v>43525</v>
      </c>
      <c r="C57" s="83">
        <f>(0.2*'AMPE-MCVE'!C56)+(0.8*'AMPE-MCVE'!D56)</f>
        <v>30.893834175591827</v>
      </c>
      <c r="D57" s="34">
        <f t="shared" si="0"/>
        <v>-0.70880358907883334</v>
      </c>
    </row>
    <row r="58" spans="2:4" ht="15.5" x14ac:dyDescent="0.3">
      <c r="B58" s="42">
        <v>43556</v>
      </c>
      <c r="C58" s="82">
        <f>(0.2*'AMPE-MCVE'!C57)+(0.8*'AMPE-MCVE'!D57)</f>
        <v>30.598870523516762</v>
      </c>
      <c r="D58" s="37">
        <f t="shared" si="0"/>
        <v>-0.29496365207506514</v>
      </c>
    </row>
    <row r="59" spans="2:4" ht="15.5" x14ac:dyDescent="0.3">
      <c r="B59" s="41">
        <v>43586</v>
      </c>
      <c r="C59" s="83">
        <f>(0.2*'AMPE-MCVE'!C58)+(0.8*'AMPE-MCVE'!D58)</f>
        <v>30.649946363172511</v>
      </c>
      <c r="D59" s="34">
        <f t="shared" si="0"/>
        <v>5.1075839655748467E-2</v>
      </c>
    </row>
    <row r="60" spans="2:4" ht="15.5" x14ac:dyDescent="0.3">
      <c r="B60" s="42">
        <v>43617</v>
      </c>
      <c r="C60" s="82">
        <f>(0.2*'AMPE-MCVE'!C59)+(0.8*'AMPE-MCVE'!D59)</f>
        <v>30.56524209265784</v>
      </c>
      <c r="D60" s="37">
        <f t="shared" si="0"/>
        <v>-8.4704270514670554E-2</v>
      </c>
    </row>
    <row r="61" spans="2:4" ht="15.5" x14ac:dyDescent="0.3">
      <c r="B61" s="41">
        <v>43647</v>
      </c>
      <c r="C61" s="83">
        <f>(0.2*'AMPE-MCVE'!C60)+(0.8*'AMPE-MCVE'!D60)</f>
        <v>30.175663996839766</v>
      </c>
      <c r="D61" s="34">
        <f t="shared" si="0"/>
        <v>-0.38957809581807368</v>
      </c>
    </row>
    <row r="62" spans="2:4" ht="15.5" x14ac:dyDescent="0.3">
      <c r="B62" s="42">
        <v>43678</v>
      </c>
      <c r="C62" s="82">
        <f>(0.2*'AMPE-MCVE'!C61)+(0.8*'AMPE-MCVE'!D61)</f>
        <v>30.05332966715725</v>
      </c>
      <c r="D62" s="37">
        <f t="shared" si="0"/>
        <v>-0.12233432968251634</v>
      </c>
    </row>
    <row r="63" spans="2:4" ht="15.5" x14ac:dyDescent="0.3">
      <c r="B63" s="41">
        <v>43709</v>
      </c>
      <c r="C63" s="83">
        <f>(0.2*'AMPE-MCVE'!C62)+(0.8*'AMPE-MCVE'!D62)</f>
        <v>30.460658990248312</v>
      </c>
      <c r="D63" s="34">
        <f t="shared" si="0"/>
        <v>0.40732932309106218</v>
      </c>
    </row>
    <row r="64" spans="2:4" ht="15.5" x14ac:dyDescent="0.3">
      <c r="B64" s="42">
        <v>43739</v>
      </c>
      <c r="C64" s="82">
        <f>(0.2*'AMPE-MCVE'!C63)+(0.8*'AMPE-MCVE'!D63)</f>
        <v>30.710755088101219</v>
      </c>
      <c r="D64" s="37">
        <f t="shared" si="0"/>
        <v>0.25009609785290721</v>
      </c>
    </row>
    <row r="65" spans="2:4" ht="15.5" x14ac:dyDescent="0.3">
      <c r="B65" s="41">
        <v>43770</v>
      </c>
      <c r="C65" s="83">
        <f>(0.2*'AMPE-MCVE'!C64)+(0.8*'AMPE-MCVE'!D64)</f>
        <v>30.991530023456932</v>
      </c>
      <c r="D65" s="34">
        <f t="shared" si="0"/>
        <v>0.28077493535571207</v>
      </c>
    </row>
    <row r="66" spans="2:4" ht="15.5" x14ac:dyDescent="0.3">
      <c r="B66" s="42">
        <v>43800</v>
      </c>
      <c r="C66" s="82">
        <f>(0.2*'AMPE-MCVE'!C65)+(0.8*'AMPE-MCVE'!D65)</f>
        <v>30.968154145441972</v>
      </c>
      <c r="D66" s="37">
        <f t="shared" si="0"/>
        <v>-2.3375878014959994E-2</v>
      </c>
    </row>
    <row r="67" spans="2:4" ht="15.5" x14ac:dyDescent="0.3">
      <c r="B67" s="41">
        <v>43831</v>
      </c>
      <c r="C67" s="83">
        <f>(0.2*'AMPE-MCVE'!C66)+(0.8*'AMPE-MCVE'!D66)</f>
        <v>31.052912894439693</v>
      </c>
      <c r="D67" s="34">
        <f t="shared" si="0"/>
        <v>8.4758748997721511E-2</v>
      </c>
    </row>
    <row r="68" spans="2:4" ht="15.5" x14ac:dyDescent="0.3">
      <c r="B68" s="42">
        <v>43862</v>
      </c>
      <c r="C68" s="82">
        <f>(0.2*'AMPE-MCVE'!C67)+(0.8*'AMPE-MCVE'!D67)</f>
        <v>31.130556308522159</v>
      </c>
      <c r="D68" s="37">
        <f t="shared" si="0"/>
        <v>7.7643414082466222E-2</v>
      </c>
    </row>
    <row r="69" spans="2:4" ht="15.5" x14ac:dyDescent="0.3">
      <c r="B69" s="41">
        <v>43891</v>
      </c>
      <c r="C69" s="83">
        <f>(0.2*'AMPE-MCVE'!C68)+(0.8*'AMPE-MCVE'!D68)</f>
        <v>31.077017480591913</v>
      </c>
      <c r="D69" s="34">
        <f t="shared" si="0"/>
        <v>-5.3538827930246669E-2</v>
      </c>
    </row>
    <row r="70" spans="2:4" ht="15.5" x14ac:dyDescent="0.3">
      <c r="B70" s="42">
        <v>43922</v>
      </c>
      <c r="C70" s="82">
        <f>(0.2*'AMPE-MCVE'!C69)+(0.8*'AMPE-MCVE'!D69)</f>
        <v>29.303646929628744</v>
      </c>
      <c r="D70" s="37">
        <f t="shared" si="0"/>
        <v>-1.7733705509631683</v>
      </c>
    </row>
    <row r="71" spans="2:4" ht="15.5" x14ac:dyDescent="0.3">
      <c r="B71" s="41">
        <v>43952</v>
      </c>
      <c r="C71" s="83">
        <f>(0.2*'AMPE-MCVE'!C70)+(0.8*'AMPE-MCVE'!D70)</f>
        <v>29.845202219195286</v>
      </c>
      <c r="D71" s="34">
        <f t="shared" si="0"/>
        <v>0.54155528956654209</v>
      </c>
    </row>
    <row r="72" spans="2:4" ht="15.5" x14ac:dyDescent="0.3">
      <c r="B72" s="42">
        <v>43983</v>
      </c>
      <c r="C72" s="82">
        <f>(0.2*'AMPE-MCVE'!C71)+(0.8*'AMPE-MCVE'!D71)</f>
        <v>31.14187129879906</v>
      </c>
      <c r="D72" s="37">
        <f t="shared" si="0"/>
        <v>1.2966690796037739</v>
      </c>
    </row>
    <row r="73" spans="2:4" ht="15.5" x14ac:dyDescent="0.3">
      <c r="B73" s="41">
        <v>44013</v>
      </c>
      <c r="C73" s="83">
        <f>(0.2*'AMPE-MCVE'!C72)+(0.8*'AMPE-MCVE'!D72)</f>
        <v>31.062001758763813</v>
      </c>
      <c r="D73" s="34">
        <f t="shared" si="0"/>
        <v>-7.9869540035247155E-2</v>
      </c>
    </row>
    <row r="74" spans="2:4" ht="15.5" x14ac:dyDescent="0.3">
      <c r="B74" s="42">
        <v>44044</v>
      </c>
      <c r="C74" s="82">
        <f>(0.2*'AMPE-MCVE'!C73)+(0.8*'AMPE-MCVE'!D73)</f>
        <v>30.88145390791496</v>
      </c>
      <c r="D74" s="37">
        <f t="shared" si="0"/>
        <v>-0.18054785084885339</v>
      </c>
    </row>
    <row r="75" spans="2:4" ht="15.5" x14ac:dyDescent="0.3">
      <c r="B75" s="41">
        <v>44075</v>
      </c>
      <c r="C75" s="83">
        <f>(0.2*'AMPE-MCVE'!C74)+(0.8*'AMPE-MCVE'!D74)</f>
        <v>31.182226301849546</v>
      </c>
      <c r="D75" s="34">
        <f t="shared" si="0"/>
        <v>0.30077239393458655</v>
      </c>
    </row>
    <row r="76" spans="2:4" ht="15.5" x14ac:dyDescent="0.3">
      <c r="B76" s="42">
        <v>44105</v>
      </c>
      <c r="C76" s="82">
        <f>(0.2*'AMPE-MCVE'!C75)+(0.8*'AMPE-MCVE'!D75)</f>
        <v>31.259506029222027</v>
      </c>
      <c r="D76" s="37">
        <f t="shared" ref="D76:D84" si="1">C76-C75</f>
        <v>7.7279727372481233E-2</v>
      </c>
    </row>
    <row r="77" spans="2:4" ht="15.5" x14ac:dyDescent="0.3">
      <c r="B77" s="41">
        <v>44136</v>
      </c>
      <c r="C77" s="83">
        <f>(0.2*'AMPE-MCVE'!C76)+(0.8*'AMPE-MCVE'!D76)</f>
        <v>31.073794068866881</v>
      </c>
      <c r="D77" s="34">
        <f t="shared" si="1"/>
        <v>-0.18571196035514603</v>
      </c>
    </row>
    <row r="78" spans="2:4" ht="15.5" x14ac:dyDescent="0.3">
      <c r="B78" s="42">
        <v>44166</v>
      </c>
      <c r="C78" s="82">
        <f>(0.2*'AMPE-MCVE'!C77)+(0.8*'AMPE-MCVE'!D77)</f>
        <v>31.360872763083314</v>
      </c>
      <c r="D78" s="37">
        <f t="shared" si="1"/>
        <v>0.28707869421643295</v>
      </c>
    </row>
    <row r="79" spans="2:4" ht="15.5" x14ac:dyDescent="0.3">
      <c r="B79" s="41">
        <v>44197</v>
      </c>
      <c r="C79" s="83">
        <f>(0.2*'AMPE-MCVE'!C78)+(0.8*'AMPE-MCVE'!D78)</f>
        <v>31.675223147156341</v>
      </c>
      <c r="D79" s="34">
        <f t="shared" si="1"/>
        <v>0.31435038407302685</v>
      </c>
    </row>
    <row r="80" spans="2:4" ht="15.5" x14ac:dyDescent="0.3">
      <c r="B80" s="42">
        <v>44228</v>
      </c>
      <c r="C80" s="82">
        <f>(0.2*'AMPE-MCVE'!C79)+(0.8*'AMPE-MCVE'!D79)</f>
        <v>32.144983661440051</v>
      </c>
      <c r="D80" s="37">
        <f t="shared" si="1"/>
        <v>0.4697605142837098</v>
      </c>
    </row>
    <row r="81" spans="2:4" ht="15.5" x14ac:dyDescent="0.3">
      <c r="B81" s="41">
        <v>44256</v>
      </c>
      <c r="C81" s="83">
        <f>(0.2*'AMPE-MCVE'!C80)+(0.8*'AMPE-MCVE'!D80)</f>
        <v>32.876394833039626</v>
      </c>
      <c r="D81" s="34">
        <f t="shared" si="1"/>
        <v>0.73141117159957503</v>
      </c>
    </row>
    <row r="82" spans="2:4" ht="15.5" x14ac:dyDescent="0.3">
      <c r="B82" s="42">
        <v>44287</v>
      </c>
      <c r="C82" s="82">
        <f>(0.2*'AMPE-MCVE'!C81)+(0.8*'AMPE-MCVE'!D81)</f>
        <v>33.396052186277636</v>
      </c>
      <c r="D82" s="37">
        <f t="shared" si="1"/>
        <v>0.51965735323800999</v>
      </c>
    </row>
    <row r="83" spans="2:4" ht="15.5" x14ac:dyDescent="0.3">
      <c r="B83" s="41">
        <v>44317</v>
      </c>
      <c r="C83" s="83">
        <f>(0.2*'AMPE-MCVE'!C82)+(0.8*'AMPE-MCVE'!D82)</f>
        <v>33.528315721847541</v>
      </c>
      <c r="D83" s="34">
        <f t="shared" si="1"/>
        <v>0.13226353556990489</v>
      </c>
    </row>
    <row r="84" spans="2:4" ht="15.5" x14ac:dyDescent="0.3">
      <c r="B84" s="42">
        <v>44348</v>
      </c>
      <c r="C84" s="82">
        <f>(0.2*'AMPE-MCVE'!C83)+(0.8*'AMPE-MCVE'!D83)</f>
        <v>33.389072224759403</v>
      </c>
      <c r="D84" s="37">
        <f t="shared" si="1"/>
        <v>-0.13924349708813821</v>
      </c>
    </row>
    <row r="85" spans="2:4" ht="15.5" x14ac:dyDescent="0.3">
      <c r="B85" s="41">
        <v>44378</v>
      </c>
      <c r="C85" s="83">
        <f>(0.2*'AMPE-MCVE'!C84)+(0.8*'AMPE-MCVE'!D84)</f>
        <v>33.059415895826255</v>
      </c>
      <c r="D85" s="34">
        <f t="shared" ref="D85:D86" si="2">C85-C84</f>
        <v>-0.32965632893314734</v>
      </c>
    </row>
    <row r="86" spans="2:4" ht="15.5" x14ac:dyDescent="0.3">
      <c r="B86" s="42">
        <v>44409</v>
      </c>
      <c r="C86" s="82">
        <f>(0.2*'AMPE-MCVE'!C85)+(0.8*'AMPE-MCVE'!D85)</f>
        <v>33.183974331896216</v>
      </c>
      <c r="D86" s="37">
        <f t="shared" si="2"/>
        <v>0.12455843606996098</v>
      </c>
    </row>
    <row r="87" spans="2:4" ht="15.5" x14ac:dyDescent="0.3">
      <c r="B87" s="41">
        <v>44440</v>
      </c>
      <c r="C87" s="83">
        <f>(0.2*'AMPE-MCVE'!C86)+(0.8*'AMPE-MCVE'!D86)</f>
        <v>34.312764793332754</v>
      </c>
      <c r="D87" s="34">
        <f t="shared" ref="D87:D88" si="3">C87-C86</f>
        <v>1.1287904614365374</v>
      </c>
    </row>
    <row r="88" spans="2:4" ht="15.5" x14ac:dyDescent="0.3">
      <c r="B88" s="42">
        <v>44470</v>
      </c>
      <c r="C88" s="82">
        <f>(0.2*'AMPE-MCVE'!C87)+(0.8*'AMPE-MCVE'!D87)</f>
        <v>36.561886292521386</v>
      </c>
      <c r="D88" s="37">
        <f t="shared" si="3"/>
        <v>2.2491214991886324</v>
      </c>
    </row>
    <row r="89" spans="2:4" ht="15.5" x14ac:dyDescent="0.3">
      <c r="B89" s="41">
        <v>44501</v>
      </c>
      <c r="C89" s="83">
        <f>(0.2*'AMPE-MCVE'!C88)+(0.8*'AMPE-MCVE'!D88)</f>
        <v>39.831340610770567</v>
      </c>
      <c r="D89" s="34">
        <f t="shared" ref="D89:D90" si="4">C89-C88</f>
        <v>3.2694543182491813</v>
      </c>
    </row>
    <row r="90" spans="2:4" ht="15.5" x14ac:dyDescent="0.3">
      <c r="B90" s="42">
        <v>44531</v>
      </c>
      <c r="C90" s="82">
        <f>(0.2*'AMPE-MCVE'!C89)+(0.8*'AMPE-MCVE'!D89)</f>
        <v>41.727454314998589</v>
      </c>
      <c r="D90" s="37">
        <f t="shared" si="4"/>
        <v>1.8961137042280214</v>
      </c>
    </row>
    <row r="91" spans="2:4" ht="15.5" x14ac:dyDescent="0.3">
      <c r="B91" s="41">
        <v>44562</v>
      </c>
      <c r="C91" s="83">
        <f>(0.2*'AMPE-MCVE'!C90)+(0.8*'AMPE-MCVE'!D90)</f>
        <v>43.960245217731497</v>
      </c>
      <c r="D91" s="34">
        <f t="shared" ref="D91:D92" si="5">C91-C90</f>
        <v>2.2327909027329085</v>
      </c>
    </row>
    <row r="92" spans="2:4" ht="15.5" x14ac:dyDescent="0.3">
      <c r="B92" s="42">
        <v>44593</v>
      </c>
      <c r="C92" s="82">
        <f>(0.2*'AMPE-MCVE'!C91)+(0.8*'AMPE-MCVE'!D91)</f>
        <v>46.421837104537794</v>
      </c>
      <c r="D92" s="37">
        <f t="shared" si="5"/>
        <v>2.4615918868062963</v>
      </c>
    </row>
    <row r="93" spans="2:4" ht="15.5" x14ac:dyDescent="0.3">
      <c r="B93" s="41">
        <v>44621</v>
      </c>
      <c r="C93" s="83">
        <f>(0.2*'AMPE-MCVE'!C92)+(0.8*'AMPE-MCVE'!D92)</f>
        <v>50.853702394709387</v>
      </c>
      <c r="D93" s="34">
        <f t="shared" ref="D93:D94" si="6">C93-C92</f>
        <v>4.4318652901715936</v>
      </c>
    </row>
    <row r="94" spans="2:4" ht="15.5" x14ac:dyDescent="0.3">
      <c r="B94" s="42">
        <v>44652</v>
      </c>
      <c r="C94" s="82">
        <f>(0.2*'AMPE-MCVE'!C93)+(0.8*'AMPE-MCVE'!D93)</f>
        <v>52.84639797685886</v>
      </c>
      <c r="D94" s="37">
        <f t="shared" si="6"/>
        <v>1.992695582149473</v>
      </c>
    </row>
    <row r="95" spans="2:4" ht="15.5" x14ac:dyDescent="0.3">
      <c r="B95" s="41">
        <v>44682</v>
      </c>
      <c r="C95" s="83">
        <f>(0.2*'AMPE-MCVE'!C94)+(0.8*'AMPE-MCVE'!D94)</f>
        <v>53.534513896285738</v>
      </c>
      <c r="D95" s="34">
        <f t="shared" ref="D95:D96" si="7">C95-C94</f>
        <v>0.68811591942687755</v>
      </c>
    </row>
    <row r="96" spans="2:4" ht="15.5" x14ac:dyDescent="0.3">
      <c r="B96" s="42">
        <v>44713</v>
      </c>
      <c r="C96" s="82">
        <f>(0.2*'AMPE-MCVE'!C95)+(0.8*'AMPE-MCVE'!D95)</f>
        <v>54.561490760262572</v>
      </c>
      <c r="D96" s="37">
        <f t="shared" si="7"/>
        <v>1.0269768639768344</v>
      </c>
    </row>
    <row r="97" spans="2:4" ht="15.5" x14ac:dyDescent="0.3">
      <c r="B97" s="41">
        <v>44743</v>
      </c>
      <c r="C97" s="83">
        <f>(0.2*'AMPE-MCVE'!C96)+(0.8*'AMPE-MCVE'!D96)</f>
        <v>53.353909058812761</v>
      </c>
      <c r="D97" s="34">
        <f t="shared" ref="D97:D98" si="8">C97-C96</f>
        <v>-1.2075817014498114</v>
      </c>
    </row>
    <row r="98" spans="2:4" ht="15.5" x14ac:dyDescent="0.3">
      <c r="B98" s="42">
        <v>44774</v>
      </c>
      <c r="C98" s="82">
        <f>(0.2*'AMPE-MCVE'!C97)+(0.8*'AMPE-MCVE'!D97)</f>
        <v>51.910331491496237</v>
      </c>
      <c r="D98" s="37">
        <f t="shared" si="8"/>
        <v>-1.4435775673165239</v>
      </c>
    </row>
    <row r="99" spans="2:4" ht="15.5" x14ac:dyDescent="0.3">
      <c r="B99" s="41">
        <v>44805</v>
      </c>
      <c r="C99" s="83">
        <f>(0.2*'AMPE-MCVE'!C98)+(0.8*'AMPE-MCVE'!D98)</f>
        <v>53.76184384319258</v>
      </c>
      <c r="D99" s="34">
        <f t="shared" ref="D99:D100" si="9">C99-C98</f>
        <v>1.8515123516963428</v>
      </c>
    </row>
    <row r="100" spans="2:4" ht="15.5" x14ac:dyDescent="0.3">
      <c r="B100" s="42">
        <v>44835</v>
      </c>
      <c r="C100" s="82">
        <f>(0.2*'AMPE-MCVE'!C99)+(0.8*'AMPE-MCVE'!D99)</f>
        <v>53.416328851564096</v>
      </c>
      <c r="D100" s="37">
        <f t="shared" si="9"/>
        <v>-0.34551499162848387</v>
      </c>
    </row>
    <row r="101" spans="2:4" ht="15.5" x14ac:dyDescent="0.3">
      <c r="B101" s="41">
        <v>44866</v>
      </c>
      <c r="C101" s="83">
        <f>(0.2*'AMPE-MCVE'!C100)+(0.8*'AMPE-MCVE'!D100)</f>
        <v>50.773135548861134</v>
      </c>
      <c r="D101" s="34">
        <f t="shared" ref="D101:D102" si="10">C101-C100</f>
        <v>-2.6431933027029615</v>
      </c>
    </row>
    <row r="102" spans="2:4" ht="15.5" x14ac:dyDescent="0.3">
      <c r="B102" s="42">
        <v>44896</v>
      </c>
      <c r="C102" s="82">
        <f>(0.2*'AMPE-MCVE'!C101)+(0.8*'AMPE-MCVE'!D101)</f>
        <v>46.204476202736473</v>
      </c>
      <c r="D102" s="37">
        <f t="shared" si="10"/>
        <v>-4.5686593461246616</v>
      </c>
    </row>
    <row r="103" spans="2:4" ht="15.5" x14ac:dyDescent="0.3">
      <c r="B103" s="41">
        <v>44927</v>
      </c>
      <c r="C103" s="83">
        <f>(0.2*'AMPE-MCVE'!C102)+(0.8*'AMPE-MCVE'!D102)</f>
        <v>42.581196321458904</v>
      </c>
      <c r="D103" s="34">
        <f>C103-C102</f>
        <v>-3.6232798812775684</v>
      </c>
    </row>
    <row r="104" spans="2:4" ht="15.5" x14ac:dyDescent="0.3">
      <c r="B104" s="42">
        <v>44958</v>
      </c>
      <c r="C104" s="82">
        <f>(0.2*'AMPE-MCVE'!C103)+(0.8*'AMPE-MCVE'!D103)</f>
        <v>37.298572427693131</v>
      </c>
      <c r="D104" s="37">
        <f t="shared" ref="D104" si="11">C104-C103</f>
        <v>-5.2826238937657735</v>
      </c>
    </row>
    <row r="105" spans="2:4" ht="15.5" x14ac:dyDescent="0.3">
      <c r="B105" s="41">
        <v>44986</v>
      </c>
      <c r="C105" s="83">
        <f>(0.2*'AMPE-MCVE'!C104)+(0.8*'AMPE-MCVE'!D104)</f>
        <v>37.375911444501924</v>
      </c>
      <c r="D105" s="34">
        <f>C105-C104</f>
        <v>7.7339016808792849E-2</v>
      </c>
    </row>
    <row r="106" spans="2:4" ht="15.5" x14ac:dyDescent="0.3">
      <c r="B106" s="42">
        <v>45017</v>
      </c>
      <c r="C106" s="82">
        <f>(0.2*'AMPE-MCVE'!C105)+(0.8*'AMPE-MCVE'!D105)</f>
        <v>35.499269168682375</v>
      </c>
      <c r="D106" s="37">
        <f t="shared" ref="D106" si="12">C106-C105</f>
        <v>-1.8766422758195489</v>
      </c>
    </row>
    <row r="107" spans="2:4" ht="15.5" x14ac:dyDescent="0.3">
      <c r="B107" s="41">
        <v>45047</v>
      </c>
      <c r="C107" s="83">
        <f>(0.2*'AMPE-MCVE'!C106)+(0.8*'AMPE-MCVE'!D106)</f>
        <v>35.402103847938385</v>
      </c>
      <c r="D107" s="34">
        <f t="shared" ref="D107:D108" si="13">C107-C106</f>
        <v>-9.716532074398998E-2</v>
      </c>
    </row>
    <row r="108" spans="2:4" ht="15.5" x14ac:dyDescent="0.3">
      <c r="B108" s="42">
        <v>45078</v>
      </c>
      <c r="C108" s="82">
        <f>(0.2*'AMPE-MCVE'!C107)+(0.8*'AMPE-MCVE'!D107)</f>
        <v>35.584304536242875</v>
      </c>
      <c r="D108" s="37">
        <f t="shared" si="13"/>
        <v>0.18220068830449065</v>
      </c>
    </row>
    <row r="109" spans="2:4" ht="15.5" x14ac:dyDescent="0.3">
      <c r="B109" s="41">
        <v>45108</v>
      </c>
      <c r="C109" s="83">
        <f>(0.2*'AMPE-MCVE'!C108)+(0.8*'AMPE-MCVE'!D108)</f>
        <v>33.615188094895785</v>
      </c>
      <c r="D109" s="34">
        <f t="shared" ref="D109:D110" si="14">C109-C108</f>
        <v>-1.9691164413470901</v>
      </c>
    </row>
    <row r="110" spans="2:4" ht="15.5" x14ac:dyDescent="0.3">
      <c r="B110" s="42">
        <v>45139</v>
      </c>
      <c r="C110" s="82">
        <f>(0.2*'AMPE-MCVE'!C109)+(0.8*'AMPE-MCVE'!D109)</f>
        <v>32.03931248995022</v>
      </c>
      <c r="D110" s="37">
        <f t="shared" si="14"/>
        <v>-1.5758756049455656</v>
      </c>
    </row>
    <row r="111" spans="2:4" ht="15.5" x14ac:dyDescent="0.3">
      <c r="B111" s="41">
        <v>45170</v>
      </c>
      <c r="C111" s="83">
        <f>(0.2*'AMPE-MCVE'!C110)+(0.8*'AMPE-MCVE'!D110)</f>
        <v>31.496373712768879</v>
      </c>
      <c r="D111" s="34">
        <f>C111-C110</f>
        <v>-0.54293877718134098</v>
      </c>
    </row>
    <row r="112" spans="2:4" ht="15.5" x14ac:dyDescent="0.3">
      <c r="B112" s="42">
        <v>45200</v>
      </c>
      <c r="C112" s="82">
        <f>(0.2*'AMPE-MCVE'!C111)+(0.8*'AMPE-MCVE'!D111)</f>
        <v>33.530844264738526</v>
      </c>
      <c r="D112" s="37">
        <f t="shared" ref="D112" si="15">C112-C111</f>
        <v>2.0344705519696475</v>
      </c>
    </row>
    <row r="113" spans="2:4" ht="15.5" x14ac:dyDescent="0.3">
      <c r="B113" s="41">
        <v>45231</v>
      </c>
      <c r="C113" s="83">
        <f>(0.2*'AMPE-MCVE'!C112)+(0.8*'AMPE-MCVE'!D112)</f>
        <v>35.667034429797496</v>
      </c>
      <c r="D113" s="34">
        <f>C113-C112</f>
        <v>2.1361901650589701</v>
      </c>
    </row>
    <row r="114" spans="2:4" ht="15.5" x14ac:dyDescent="0.3">
      <c r="B114" s="42">
        <v>45261</v>
      </c>
      <c r="C114" s="82">
        <f>(0.2*'AMPE-MCVE'!C113)+(0.8*'AMPE-MCVE'!D113)</f>
        <v>36.81980592945645</v>
      </c>
      <c r="D114" s="37">
        <f t="shared" ref="D114" si="16">C114-C113</f>
        <v>1.1527714996589538</v>
      </c>
    </row>
    <row r="115" spans="2:4" ht="15.5" x14ac:dyDescent="0.3">
      <c r="B115" s="41">
        <v>45292</v>
      </c>
      <c r="C115" s="83">
        <f>(0.2*'AMPE-MCVE'!C114)+(0.8*'AMPE-MCVE'!D114)</f>
        <v>37.579870023570415</v>
      </c>
      <c r="D115" s="34">
        <f>C115-C114</f>
        <v>0.76006409411396447</v>
      </c>
    </row>
    <row r="116" spans="2:4" ht="15.5" x14ac:dyDescent="0.3">
      <c r="B116" s="42">
        <v>45323</v>
      </c>
      <c r="C116" s="82">
        <f>(0.2*'AMPE-MCVE'!C115)+(0.8*'AMPE-MCVE'!D115)</f>
        <v>36.973413347534304</v>
      </c>
      <c r="D116" s="37">
        <f t="shared" ref="D116" si="17">C116-C115</f>
        <v>-0.60645667603611031</v>
      </c>
    </row>
    <row r="117" spans="2:4" ht="15.5" x14ac:dyDescent="0.3">
      <c r="B117" s="41">
        <v>45352</v>
      </c>
      <c r="C117" s="83">
        <f>(0.2*'AMPE-MCVE'!C116)+(0.8*'AMPE-MCVE'!D116)</f>
        <v>36.349464285446331</v>
      </c>
      <c r="D117" s="34">
        <f t="shared" ref="D117:D123" si="18">C117-C116</f>
        <v>-0.62394906208797352</v>
      </c>
    </row>
    <row r="118" spans="2:4" ht="15.5" x14ac:dyDescent="0.3">
      <c r="B118" s="42">
        <v>45383</v>
      </c>
      <c r="C118" s="82">
        <f>(0.2*'AMPE-MCVE'!C117)+(0.8*'AMPE-MCVE'!D117)</f>
        <v>35.682998771983478</v>
      </c>
      <c r="D118" s="37">
        <f t="shared" si="18"/>
        <v>-0.66646551346285321</v>
      </c>
    </row>
    <row r="119" spans="2:4" ht="15.5" x14ac:dyDescent="0.3">
      <c r="B119" s="41">
        <v>45413</v>
      </c>
      <c r="C119" s="83">
        <f>(0.2*'AMPE-MCVE'!C118)+(0.8*'AMPE-MCVE'!D118)</f>
        <v>36.538642873957642</v>
      </c>
      <c r="D119" s="34">
        <f t="shared" si="18"/>
        <v>0.85564410197416407</v>
      </c>
    </row>
    <row r="120" spans="2:4" ht="15.5" x14ac:dyDescent="0.3">
      <c r="B120" s="42">
        <v>45444</v>
      </c>
      <c r="C120" s="82">
        <f>(0.2*'AMPE-MCVE'!C119)+(0.8*'AMPE-MCVE'!D119)</f>
        <v>38.65149442735521</v>
      </c>
      <c r="D120" s="37">
        <f t="shared" si="18"/>
        <v>2.1128515533975687</v>
      </c>
    </row>
    <row r="121" spans="2:4" ht="15.5" x14ac:dyDescent="0.3">
      <c r="B121" s="41">
        <v>45474</v>
      </c>
      <c r="C121" s="83">
        <f>(0.2*'AMPE-MCVE'!C120)+(0.8*'AMPE-MCVE'!D120)</f>
        <v>39.819190301524969</v>
      </c>
      <c r="D121" s="34">
        <f t="shared" si="18"/>
        <v>1.167695874169759</v>
      </c>
    </row>
    <row r="122" spans="2:4" ht="15.5" x14ac:dyDescent="0.3">
      <c r="B122" s="42">
        <v>45505</v>
      </c>
      <c r="C122" s="82">
        <f>(0.2*'AMPE-MCVE'!C121)+(0.8*'AMPE-MCVE'!D121)</f>
        <v>41.294244057346077</v>
      </c>
      <c r="D122" s="37">
        <f t="shared" si="18"/>
        <v>1.4750537558211079</v>
      </c>
    </row>
    <row r="123" spans="2:4" ht="15.5" x14ac:dyDescent="0.3">
      <c r="B123" s="41">
        <v>45536</v>
      </c>
      <c r="C123" s="83">
        <f>(0.2*'AMPE-MCVE'!C122)+(0.8*'AMPE-MCVE'!D122)</f>
        <v>45.356957418464162</v>
      </c>
      <c r="D123" s="34">
        <f t="shared" si="18"/>
        <v>4.0627133611180852</v>
      </c>
    </row>
    <row r="124" spans="2:4" ht="15.5" x14ac:dyDescent="0.3">
      <c r="B124" s="42">
        <v>45566</v>
      </c>
      <c r="C124" s="82">
        <f>(0.2*'AMPE-MCVE'!C123)+(0.8*'AMPE-MCVE'!D123)</f>
        <v>46.372220150190351</v>
      </c>
      <c r="D124" s="37">
        <f t="shared" ref="D124:D125" si="19">C124-C123</f>
        <v>1.0152627317261889</v>
      </c>
    </row>
    <row r="125" spans="2:4" ht="15.5" x14ac:dyDescent="0.3">
      <c r="B125" s="41">
        <v>45597</v>
      </c>
      <c r="C125" s="83">
        <f>(0.2*'AMPE-MCVE'!C124)+(0.8*'AMPE-MCVE'!D124)</f>
        <v>45.636705149179356</v>
      </c>
      <c r="D125" s="34">
        <f t="shared" si="19"/>
        <v>-0.73551500101099521</v>
      </c>
    </row>
    <row r="126" spans="2:4" ht="15.5" x14ac:dyDescent="0.3">
      <c r="B126" s="42">
        <v>45627</v>
      </c>
      <c r="C126" s="82">
        <f>(0.2*'AMPE-MCVE'!C125)+(0.8*'AMPE-MCVE'!D125)</f>
        <v>44.598179230359861</v>
      </c>
      <c r="D126" s="37">
        <f t="shared" ref="D126:D127" si="20">C126-C125</f>
        <v>-1.0385259188194951</v>
      </c>
    </row>
    <row r="127" spans="2:4" ht="15.5" x14ac:dyDescent="0.3">
      <c r="B127" s="41">
        <v>45658</v>
      </c>
      <c r="C127" s="83">
        <f>(0.2*'AMPE-MCVE'!C126)+(0.8*'AMPE-MCVE'!D126)</f>
        <v>43.618703389330506</v>
      </c>
      <c r="D127" s="34">
        <f t="shared" si="20"/>
        <v>-0.97947584102935537</v>
      </c>
    </row>
    <row r="128" spans="2:4" ht="15.5" x14ac:dyDescent="0.3">
      <c r="B128" s="42">
        <v>45689</v>
      </c>
      <c r="C128" s="82">
        <f>(0.2*'AMPE-MCVE'!C127)+(0.8*'AMPE-MCVE'!D127)</f>
        <v>42.995937119176588</v>
      </c>
      <c r="D128" s="37">
        <f t="shared" ref="D128:D129" si="21">C128-C127</f>
        <v>-0.62276627015391739</v>
      </c>
    </row>
    <row r="129" spans="2:4" ht="15.5" x14ac:dyDescent="0.3">
      <c r="B129" s="41">
        <v>45717</v>
      </c>
      <c r="C129" s="83">
        <f>(0.2*'AMPE-MCVE'!C128)+(0.8*'AMPE-MCVE'!D128)</f>
        <v>43.779145115428918</v>
      </c>
      <c r="D129" s="34">
        <f t="shared" si="21"/>
        <v>0.78320799625232951</v>
      </c>
    </row>
    <row r="130" spans="2:4" ht="15.5" x14ac:dyDescent="0.3">
      <c r="B130" s="42">
        <v>45748</v>
      </c>
      <c r="C130" s="82">
        <f>(0.2*'AMPE-MCVE'!C129)+(0.8*'AMPE-MCVE'!D129)</f>
        <v>43.540502303456613</v>
      </c>
      <c r="D130" s="37">
        <f t="shared" ref="D130:D131" si="22">C130-C129</f>
        <v>-0.23864281197230497</v>
      </c>
    </row>
    <row r="131" spans="2:4" ht="15.5" x14ac:dyDescent="0.3">
      <c r="B131" s="41">
        <v>45778</v>
      </c>
      <c r="C131" s="83">
        <f>(0.2*'AMPE-MCVE'!C130)+(0.8*'AMPE-MCVE'!D130)</f>
        <v>42.770077285426623</v>
      </c>
      <c r="D131" s="34">
        <f t="shared" si="22"/>
        <v>-0.77042501802998942</v>
      </c>
    </row>
    <row r="132" spans="2:4" ht="15.5" x14ac:dyDescent="0.3">
      <c r="B132" s="42">
        <v>45809</v>
      </c>
      <c r="C132" s="82">
        <f>(0.2*'AMPE-MCVE'!C131)+(0.8*'AMPE-MCVE'!D131)</f>
        <v>42.45307398822326</v>
      </c>
      <c r="D132" s="37">
        <f t="shared" ref="D132:D133" si="23">C132-C131</f>
        <v>-0.31700329720336384</v>
      </c>
    </row>
    <row r="133" spans="2:4" ht="15.5" x14ac:dyDescent="0.3">
      <c r="B133" s="41">
        <v>45839</v>
      </c>
      <c r="C133" s="83">
        <f>(0.2*'AMPE-MCVE'!C132)+(0.8*'AMPE-MCVE'!D132)</f>
        <v>42.177887515913547</v>
      </c>
      <c r="D133" s="34">
        <f t="shared" si="23"/>
        <v>-0.27518647230971283</v>
      </c>
    </row>
    <row r="134" spans="2:4" ht="15.5" x14ac:dyDescent="0.3">
      <c r="B134" s="42">
        <v>45870</v>
      </c>
      <c r="C134" s="82">
        <f>(0.2*'AMPE-MCVE'!C133)+(0.8*'AMPE-MCVE'!D133)</f>
        <v>41.635271917648943</v>
      </c>
      <c r="D134" s="37">
        <f t="shared" ref="D134" si="24">C134-C133</f>
        <v>-0.5426155982646037</v>
      </c>
    </row>
    <row r="135" spans="2:4" ht="15.5" x14ac:dyDescent="0.3">
      <c r="B135" s="41">
        <v>45901</v>
      </c>
      <c r="C135" s="83">
        <f>(0.2*'AMPE-MCVE'!C134)+(0.8*'AMPE-MCVE'!D134)</f>
        <v>37.217528936258411</v>
      </c>
      <c r="D135" s="34">
        <f t="shared" ref="D135" si="25">C135-C134</f>
        <v>-4.417742981390532</v>
      </c>
    </row>
    <row r="136" spans="2:4" ht="15.5" x14ac:dyDescent="0.3">
      <c r="B136" s="42">
        <v>45931</v>
      </c>
      <c r="C136" s="82">
        <f>(0.2*'AMPE-MCVE'!C135)+(0.8*'AMPE-MCVE'!D135)</f>
        <v>33.16103838272236</v>
      </c>
      <c r="D136" s="37">
        <f t="shared" ref="D136" si="26">C136-C135</f>
        <v>-4.0564905535360509</v>
      </c>
    </row>
    <row r="137" spans="2:4" ht="15.5" x14ac:dyDescent="0.3">
      <c r="B137" s="41">
        <v>45962</v>
      </c>
      <c r="C137" s="83">
        <f>(0.2*'AMPE-MCVE'!C136)+(0.8*'AMPE-MCVE'!D136)</f>
        <v>31.454246432097737</v>
      </c>
      <c r="D137" s="34">
        <f t="shared" ref="D137" si="27">C137-C136</f>
        <v>-1.7067919506246234</v>
      </c>
    </row>
    <row r="138" spans="2:4" ht="15.5" x14ac:dyDescent="0.3">
      <c r="B138" s="42">
        <v>45992</v>
      </c>
      <c r="C138" s="82">
        <f>(0.2*'AMPE-MCVE'!C137)+(0.8*'AMPE-MCVE'!D137)</f>
        <v>29.491400229221526</v>
      </c>
      <c r="D138" s="37">
        <f t="shared" ref="D138:D139" si="28">C138-C137</f>
        <v>-1.9628462028762108</v>
      </c>
    </row>
    <row r="139" spans="2:4" ht="15.5" x14ac:dyDescent="0.3">
      <c r="B139" s="41">
        <v>46023</v>
      </c>
      <c r="C139" s="83">
        <f>(0.2*'AMPE-MCVE'!C138)+(0.8*'AMPE-MCVE'!D138)</f>
        <v>29.886111480385757</v>
      </c>
      <c r="D139" s="34">
        <f t="shared" si="28"/>
        <v>0.39471125116423167</v>
      </c>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42"/>
  <sheetViews>
    <sheetView showGridLines="0" tabSelected="1" zoomScaleNormal="100" zoomScaleSheetLayoutView="143" zoomScalePageLayoutView="123" workbookViewId="0">
      <pane xSplit="2" ySplit="8" topLeftCell="J143" activePane="bottomRight" state="frozen"/>
      <selection activeCell="B107" sqref="B107"/>
      <selection pane="topRight" activeCell="B107" sqref="B107"/>
      <selection pane="bottomLeft" activeCell="B107" sqref="B107"/>
      <selection pane="bottomRight" activeCell="B144" sqref="B144"/>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61</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64</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99" t="s">
        <v>25</v>
      </c>
      <c r="G6" s="100"/>
      <c r="H6" s="100"/>
      <c r="I6" s="100"/>
      <c r="J6" s="100"/>
      <c r="K6" s="100"/>
      <c r="L6" s="16"/>
      <c r="M6" s="101" t="s">
        <v>26</v>
      </c>
      <c r="N6" s="102"/>
      <c r="O6" s="102"/>
      <c r="P6" s="102"/>
      <c r="Q6" s="102"/>
      <c r="R6" s="102"/>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3" t="s">
        <v>1</v>
      </c>
      <c r="D8" s="104"/>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8"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8"/>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8"/>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8" t="s">
        <v>53</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8" t="s">
        <v>53</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8"/>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8" t="s">
        <v>53</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8"/>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8"/>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8" t="s">
        <v>53</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1" t="s">
        <v>53</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1" t="s">
        <v>53</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1"/>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1"/>
      <c r="B122" s="41">
        <v>45536</v>
      </c>
      <c r="C122" s="34">
        <f t="shared" si="97"/>
        <v>47.149027089053895</v>
      </c>
      <c r="D122" s="34">
        <f t="shared" ref="D122" si="99">P122+Q122+R122</f>
        <v>44.908940000816735</v>
      </c>
      <c r="E122" s="35"/>
      <c r="F122" s="36">
        <v>6730</v>
      </c>
      <c r="G122" s="36">
        <v>2150</v>
      </c>
      <c r="H122" s="36">
        <v>677</v>
      </c>
      <c r="I122" s="34">
        <f>(F122-'Processing costs'!C122)*100/19900</f>
        <v>32.100502512562812</v>
      </c>
      <c r="J122" s="34">
        <f>((G122-103)-'Processing costs'!E122)*100/203600</f>
        <v>0.72347740667976423</v>
      </c>
      <c r="K122" s="34">
        <f>(G122-'Processing costs'!D122-H122*8.5%)*100/10600</f>
        <v>14.32504716981132</v>
      </c>
      <c r="L122" s="35"/>
      <c r="M122" s="36">
        <v>4150</v>
      </c>
      <c r="N122" s="36">
        <f>896.5/1.17</f>
        <v>766.23931623931628</v>
      </c>
      <c r="O122" s="36">
        <f>F122-300</f>
        <v>6430</v>
      </c>
      <c r="P122" s="34">
        <f>(M122-'Processing costs'!G122)*100/9100</f>
        <v>40.626373626373628</v>
      </c>
      <c r="Q122" s="34">
        <f>(N122-'Processing costs'!H122)*100/16700</f>
        <v>1.3128102768821335</v>
      </c>
      <c r="R122" s="34">
        <f>(O122-'Processing costs'!I122)*100/205000</f>
        <v>2.9697560975609756</v>
      </c>
    </row>
    <row r="123" spans="1:45" x14ac:dyDescent="0.35">
      <c r="A123" s="91" t="s">
        <v>53</v>
      </c>
      <c r="B123" s="42">
        <v>45566</v>
      </c>
      <c r="C123" s="37">
        <f t="shared" si="97"/>
        <v>45.485979514375082</v>
      </c>
      <c r="D123" s="37">
        <f t="shared" ref="D123:D128" si="100">P123+Q123+R123</f>
        <v>46.593780309144165</v>
      </c>
      <c r="E123" s="35"/>
      <c r="F123" s="38">
        <v>6500</v>
      </c>
      <c r="G123" s="38">
        <v>2090</v>
      </c>
      <c r="H123" s="38">
        <v>697</v>
      </c>
      <c r="I123" s="37">
        <f>(F123-'Processing costs'!C123)*100/19900</f>
        <v>30.949748743718594</v>
      </c>
      <c r="J123" s="37">
        <f>((G123-103)-'Processing costs'!E123)*100/203600</f>
        <v>0.69891944990176813</v>
      </c>
      <c r="K123" s="37">
        <f>(G123-'Processing costs'!D123-H123*8.5%)*100/10600</f>
        <v>13.837311320754717</v>
      </c>
      <c r="L123" s="35"/>
      <c r="M123" s="38">
        <v>4300</v>
      </c>
      <c r="N123" s="38">
        <f>918.05/1.171</f>
        <v>783.98804440649008</v>
      </c>
      <c r="O123" s="38">
        <f t="shared" ref="O123" si="101">F123-300</f>
        <v>6200</v>
      </c>
      <c r="P123" s="37">
        <f>(M123-'Processing costs'!G123)*100/9100</f>
        <v>42.274725274725277</v>
      </c>
      <c r="Q123" s="37">
        <f>(N123-'Processing costs'!H123)*100/16700</f>
        <v>1.4610062539310784</v>
      </c>
      <c r="R123" s="37">
        <f>(O123-'Processing costs'!I123)*100/205000</f>
        <v>2.8580487804878048</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1"/>
      <c r="B124" s="41">
        <v>45597</v>
      </c>
      <c r="C124" s="34">
        <f t="shared" si="97"/>
        <v>46.215459078484066</v>
      </c>
      <c r="D124" s="34">
        <f t="shared" si="100"/>
        <v>45.492016666853175</v>
      </c>
      <c r="E124" s="35"/>
      <c r="F124" s="36">
        <v>6630</v>
      </c>
      <c r="G124" s="36">
        <v>2100</v>
      </c>
      <c r="H124" s="36">
        <v>725.72971816376253</v>
      </c>
      <c r="I124" s="34">
        <f>(F124-'Processing costs'!C124)*100/19900</f>
        <v>31.603015075376884</v>
      </c>
      <c r="J124" s="34">
        <f>((G124-103)-'Processing costs'!E124)*100/203600</f>
        <v>0.7038310412573674</v>
      </c>
      <c r="K124" s="34">
        <f>(G124-'Processing costs'!D124-H124*8.5%)*100/10600</f>
        <v>13.908612961849812</v>
      </c>
      <c r="L124" s="35"/>
      <c r="M124" s="36">
        <v>4190</v>
      </c>
      <c r="N124" s="36">
        <f>924.205/1.168</f>
        <v>791.27140410958907</v>
      </c>
      <c r="O124" s="36">
        <f t="shared" ref="O124:O130" si="102">F124-300</f>
        <v>6330</v>
      </c>
      <c r="P124" s="34">
        <f>(M124-'Processing costs'!G124)*100/9100</f>
        <v>41.065934065934066</v>
      </c>
      <c r="Q124" s="34">
        <f>(N124-'Processing costs'!H124)*100/16700</f>
        <v>1.5046191862849645</v>
      </c>
      <c r="R124" s="34">
        <f>(O124-'Processing costs'!I124)*100/205000</f>
        <v>2.9214634146341463</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1"/>
      <c r="B125" s="42">
        <v>45627</v>
      </c>
      <c r="C125" s="37">
        <f t="shared" si="97"/>
        <v>45.388852640082959</v>
      </c>
      <c r="D125" s="37">
        <f t="shared" si="100"/>
        <v>44.400510877929086</v>
      </c>
      <c r="E125" s="35"/>
      <c r="F125" s="38">
        <v>6470</v>
      </c>
      <c r="G125" s="38">
        <v>2100</v>
      </c>
      <c r="H125" s="38">
        <v>753.89621013142096</v>
      </c>
      <c r="I125" s="37">
        <f>(F125-'Processing costs'!C125)*100/19900</f>
        <v>30.798994974874372</v>
      </c>
      <c r="J125" s="37">
        <f>((G125-103)-'Processing costs'!E125)*100/203600</f>
        <v>0.7038310412573674</v>
      </c>
      <c r="K125" s="37">
        <f>(G125-'Processing costs'!D125-H125*8.5%)*100/10600</f>
        <v>13.886026623951219</v>
      </c>
      <c r="L125" s="35"/>
      <c r="M125" s="38">
        <v>4080</v>
      </c>
      <c r="N125" s="38">
        <f>963.13/1.169</f>
        <v>823.8922155688623</v>
      </c>
      <c r="O125" s="38">
        <f t="shared" si="102"/>
        <v>6170</v>
      </c>
      <c r="P125" s="37">
        <f>(M125-'Processing costs'!G125)*100/9100</f>
        <v>39.857142857142854</v>
      </c>
      <c r="Q125" s="37">
        <f>(N125-'Processing costs'!H125)*100/16700</f>
        <v>1.6999533866398939</v>
      </c>
      <c r="R125" s="37">
        <f>(O125-'Processing costs'!I125)*100/205000</f>
        <v>2.8434146341463413</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1" t="s">
        <v>53</v>
      </c>
      <c r="B126" s="41">
        <v>45658</v>
      </c>
      <c r="C126" s="34">
        <f t="shared" si="97"/>
        <v>44.01254105768119</v>
      </c>
      <c r="D126" s="34">
        <f t="shared" si="100"/>
        <v>43.520243972242838</v>
      </c>
      <c r="E126" s="35"/>
      <c r="F126" s="36">
        <v>6180</v>
      </c>
      <c r="G126" s="36">
        <v>2090</v>
      </c>
      <c r="H126" s="36">
        <v>777</v>
      </c>
      <c r="I126" s="34">
        <f>(F126-'Processing costs'!C126)*100/19900</f>
        <v>29.361809045226131</v>
      </c>
      <c r="J126" s="34">
        <f>((G126-103)-'Processing costs'!E126)*100/203600</f>
        <v>0.70776031434184672</v>
      </c>
      <c r="K126" s="34">
        <f>(G126-'Processing costs'!D126-H126*8.5%)*100/10600</f>
        <v>13.942971698113208</v>
      </c>
      <c r="L126" s="35"/>
      <c r="M126" s="36">
        <v>3990</v>
      </c>
      <c r="N126" s="36">
        <f>970.91/1.168</f>
        <v>831.25856164383561</v>
      </c>
      <c r="O126" s="36">
        <f t="shared" si="102"/>
        <v>5880</v>
      </c>
      <c r="P126" s="34">
        <f>(M126-'Processing costs'!G126)*100/9100</f>
        <v>38.934065934065934</v>
      </c>
      <c r="Q126" s="34">
        <f>(N126-'Processing costs'!H126)*100/16700</f>
        <v>1.8817877942744647</v>
      </c>
      <c r="R126" s="34">
        <f>(O126-'Processing costs'!I126)*100/205000</f>
        <v>2.7043902439024392</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41.995212160535786</v>
      </c>
      <c r="D127" s="37">
        <f t="shared" si="100"/>
        <v>43.246118358836782</v>
      </c>
      <c r="E127" s="35"/>
      <c r="F127" s="38">
        <v>5920</v>
      </c>
      <c r="G127" s="38">
        <v>2020</v>
      </c>
      <c r="H127" s="38">
        <v>797</v>
      </c>
      <c r="I127" s="37">
        <f>(F127-'Processing costs'!C127)*100/19900</f>
        <v>28.055276381909547</v>
      </c>
      <c r="J127" s="37">
        <f>((G127-103)-'Processing costs'!E127)*100/203600</f>
        <v>0.67337917485265231</v>
      </c>
      <c r="K127" s="37">
        <f>(G127-'Processing costs'!D127-H127*8.5%)*100/10600</f>
        <v>13.266556603773585</v>
      </c>
      <c r="L127" s="35"/>
      <c r="M127" s="38">
        <v>3960</v>
      </c>
      <c r="N127" s="38">
        <f>1009.93/1.172</f>
        <v>861.71501706484639</v>
      </c>
      <c r="O127" s="38">
        <f t="shared" si="102"/>
        <v>5620</v>
      </c>
      <c r="P127" s="37">
        <f>(M127-'Processing costs'!G127)*100/9100</f>
        <v>38.604395604395606</v>
      </c>
      <c r="Q127" s="37">
        <f>(N127-'Processing costs'!H127)*100/16700</f>
        <v>2.0641617788314157</v>
      </c>
      <c r="R127" s="37">
        <f>(O127-'Processing costs'!I127)*100/205000</f>
        <v>2.5775609756097562</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3">I128+J128+K128</f>
        <v>42.66095620585412</v>
      </c>
      <c r="D128" s="34">
        <f t="shared" si="100"/>
        <v>44.058692342822617</v>
      </c>
      <c r="E128" s="35"/>
      <c r="F128" s="36">
        <v>6070</v>
      </c>
      <c r="G128" s="36">
        <v>2010</v>
      </c>
      <c r="H128" s="36">
        <v>783</v>
      </c>
      <c r="I128" s="34">
        <f>(F128-'Processing costs'!C128)*100/19900</f>
        <v>28.809045226130653</v>
      </c>
      <c r="J128" s="34">
        <f>((G128-103)-'Processing costs'!E128)*100/203600</f>
        <v>0.66846758349705304</v>
      </c>
      <c r="K128" s="34">
        <f>(G128-'Processing costs'!D128-H128*8.5%)*100/10600</f>
        <v>13.183443396226416</v>
      </c>
      <c r="L128" s="35"/>
      <c r="M128" s="36">
        <v>4020</v>
      </c>
      <c r="N128" s="36">
        <f>1023.85/1.17</f>
        <v>875.08547008547021</v>
      </c>
      <c r="O128" s="36">
        <f t="shared" si="102"/>
        <v>5770</v>
      </c>
      <c r="P128" s="34">
        <f>(M128-'Processing costs'!G128)*100/9100</f>
        <v>39.263736263736263</v>
      </c>
      <c r="Q128" s="34">
        <f>(N128-'Processing costs'!H128)*100/16700</f>
        <v>2.1442243717692828</v>
      </c>
      <c r="R128" s="34">
        <f>(O128-'Processing costs'!I128)*100/205000</f>
        <v>2.6507317073170733</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1" t="s">
        <v>53</v>
      </c>
      <c r="B129" s="42">
        <v>45748</v>
      </c>
      <c r="C129" s="37">
        <f t="shared" ref="C129:C134" si="104">I129+J129+K129</f>
        <v>42.092795711142735</v>
      </c>
      <c r="D129" s="37">
        <f t="shared" ref="D129:D130" si="105">P129+Q129+R129</f>
        <v>43.902428951535079</v>
      </c>
      <c r="E129" s="35"/>
      <c r="F129" s="38">
        <v>6050</v>
      </c>
      <c r="G129" s="38">
        <v>1980</v>
      </c>
      <c r="H129" s="38">
        <v>784</v>
      </c>
      <c r="I129" s="37">
        <f>(F129-'Processing costs'!C129)*100/19900</f>
        <v>28.678391959798994</v>
      </c>
      <c r="J129" s="37">
        <f>((G129-103)-'Processing costs'!E129)*100/203600</f>
        <v>0.64685658153241654</v>
      </c>
      <c r="K129" s="37">
        <f>(G129-'Processing costs'!D129-H129*8.5%)*100/10600</f>
        <v>12.767547169811321</v>
      </c>
      <c r="L129" s="35"/>
      <c r="M129" s="38">
        <v>4020</v>
      </c>
      <c r="N129" s="38">
        <f>1031/1.168</f>
        <v>882.70547945205487</v>
      </c>
      <c r="O129" s="38">
        <f t="shared" si="102"/>
        <v>5750</v>
      </c>
      <c r="P129" s="37">
        <f>(M129-'Processing costs'!G129)*100/9100</f>
        <v>39.164835164835168</v>
      </c>
      <c r="Q129" s="37">
        <f>(N129-'Processing costs'!H129)*100/16700</f>
        <v>2.1000328110901489</v>
      </c>
      <c r="R129" s="37">
        <f>(O129-'Processing costs'!I129)*100/205000</f>
        <v>2.6375609756097562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4"/>
        <v>42.048607074181746</v>
      </c>
      <c r="D130" s="34">
        <f t="shared" si="105"/>
        <v>42.950444838237843</v>
      </c>
      <c r="E130" s="35"/>
      <c r="F130" s="36">
        <v>6060</v>
      </c>
      <c r="G130" s="36">
        <v>1970</v>
      </c>
      <c r="H130" s="36">
        <v>778</v>
      </c>
      <c r="I130" s="34">
        <f>(F130-'Processing costs'!C130)*100/19900</f>
        <v>28.728643216080403</v>
      </c>
      <c r="J130" s="34">
        <f>((G130-103)-'Processing costs'!E130)*100/203600</f>
        <v>0.64194499017681728</v>
      </c>
      <c r="K130" s="34">
        <f>(G130-'Processing costs'!D130-H130*8.5%)*100/10600</f>
        <v>12.678018867924528</v>
      </c>
      <c r="L130" s="35"/>
      <c r="M130" s="36">
        <v>3950</v>
      </c>
      <c r="N130" s="36">
        <f>993.55/1.167</f>
        <v>851.3710368466152</v>
      </c>
      <c r="O130" s="36">
        <f t="shared" si="102"/>
        <v>5760</v>
      </c>
      <c r="P130" s="34">
        <f>(M130-'Processing costs'!G130)*100/9100</f>
        <v>38.395604395604394</v>
      </c>
      <c r="Q130" s="34">
        <f>(N130-'Processing costs'!H130)*100/16700</f>
        <v>1.9124014182432048</v>
      </c>
      <c r="R130" s="34">
        <f>(O130-'Processing costs'!I130)*100/205000</f>
        <v>2.642439024390244</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4"/>
        <v>42.641550096275942</v>
      </c>
      <c r="D131" s="37">
        <f t="shared" ref="D131" si="106">P131+Q131+R131</f>
        <v>42.405954961210085</v>
      </c>
      <c r="E131" s="35"/>
      <c r="F131" s="38">
        <v>6160</v>
      </c>
      <c r="G131" s="38">
        <v>1980</v>
      </c>
      <c r="H131" s="38">
        <v>789</v>
      </c>
      <c r="I131" s="37">
        <f>(F131-'Processing costs'!C131)*100/19900</f>
        <v>29.231155778894472</v>
      </c>
      <c r="J131" s="37">
        <f>((G131-103)-'Processing costs'!E131)*100/203600</f>
        <v>0.64685658153241654</v>
      </c>
      <c r="K131" s="37">
        <f>(G131-'Processing costs'!D131-H131*8.5%)*100/10600</f>
        <v>12.763537735849056</v>
      </c>
      <c r="L131" s="35"/>
      <c r="M131" s="38">
        <v>3900</v>
      </c>
      <c r="N131" s="38">
        <f>985.01/1.167</f>
        <v>844.05312767780629</v>
      </c>
      <c r="O131" s="38">
        <f t="shared" ref="O131:O136" si="107">F131-300</f>
        <v>5860</v>
      </c>
      <c r="P131" s="37">
        <f>(M131-'Processing costs'!G131)*100/9100</f>
        <v>37.846153846153847</v>
      </c>
      <c r="Q131" s="37">
        <f>(N131-'Processing costs'!H131)*100/16700</f>
        <v>1.8685816028611155</v>
      </c>
      <c r="R131" s="37">
        <f>(O131-'Processing costs'!I131)*100/205000</f>
        <v>2.6912195121951221</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4"/>
        <v>42.469594795808753</v>
      </c>
      <c r="D132" s="34">
        <f>P132+Q132+R132</f>
        <v>42.104960695939738</v>
      </c>
      <c r="E132" s="35"/>
      <c r="F132" s="36">
        <v>6150</v>
      </c>
      <c r="G132" s="36">
        <v>1970</v>
      </c>
      <c r="H132" s="36">
        <v>817</v>
      </c>
      <c r="I132" s="34">
        <f>(F132-'Processing costs'!C132)*100/19900</f>
        <v>29.180904522613066</v>
      </c>
      <c r="J132" s="34">
        <f>((G132-103)-'Processing costs'!E132)*100/203600</f>
        <v>0.64194499017681728</v>
      </c>
      <c r="K132" s="34">
        <f>(G132-'Processing costs'!D132-H132*8.5%)*100/10600</f>
        <v>12.646745283018868</v>
      </c>
      <c r="L132" s="35"/>
      <c r="M132" s="36">
        <v>3890</v>
      </c>
      <c r="N132" s="36">
        <f>941.4/1.158</f>
        <v>812.9533678756477</v>
      </c>
      <c r="O132" s="36">
        <f t="shared" si="107"/>
        <v>5850</v>
      </c>
      <c r="P132" s="34">
        <f>(M132-'Processing costs'!G132)*100/9100</f>
        <v>37.736263736263737</v>
      </c>
      <c r="Q132" s="34">
        <f>(N132-'Processing costs'!H132)*100/16700</f>
        <v>1.6823554962613636</v>
      </c>
      <c r="R132" s="34">
        <f>(O132-'Processing costs'!I132)*100/205000</f>
        <v>2.6863414634146343</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4"/>
        <v>42.160773340234179</v>
      </c>
      <c r="D133" s="37">
        <f t="shared" ref="D133" si="108">P133+Q133+R133</f>
        <v>41.503896562002637</v>
      </c>
      <c r="E133" s="35"/>
      <c r="F133" s="38">
        <v>6050</v>
      </c>
      <c r="G133" s="38">
        <v>1990</v>
      </c>
      <c r="H133" s="38">
        <v>823</v>
      </c>
      <c r="I133" s="37">
        <f>(F133-'Processing costs'!C133)*100/19900</f>
        <v>28.678391959798994</v>
      </c>
      <c r="J133" s="37">
        <f>((G133-103)-'Processing costs'!E133)*100/203600</f>
        <v>0.6517681728880157</v>
      </c>
      <c r="K133" s="37">
        <f>(G133-'Processing costs'!D133-H133*8.5%)*100/10600</f>
        <v>12.83061320754717</v>
      </c>
      <c r="L133" s="35"/>
      <c r="M133" s="38">
        <v>3830</v>
      </c>
      <c r="N133" s="38">
        <f>958.78/1.154</f>
        <v>830.83188908145587</v>
      </c>
      <c r="O133" s="38">
        <f t="shared" si="107"/>
        <v>5750</v>
      </c>
      <c r="P133" s="37">
        <f>(M133-'Processing costs'!G133)*100/9100</f>
        <v>37.07692307692308</v>
      </c>
      <c r="Q133" s="37">
        <f>(N133-'Processing costs'!H133)*100/16700</f>
        <v>1.7894125094697957</v>
      </c>
      <c r="R133" s="37">
        <f>(O133-'Processing costs'!I133)*100/205000</f>
        <v>2.6375609756097562</v>
      </c>
    </row>
    <row r="134" spans="1:45" x14ac:dyDescent="0.35">
      <c r="A134" s="91" t="s">
        <v>53</v>
      </c>
      <c r="B134" s="41">
        <v>45901</v>
      </c>
      <c r="C134" s="34">
        <f t="shared" si="104"/>
        <v>38.781496727716878</v>
      </c>
      <c r="D134" s="34">
        <f>P134+Q134+R134</f>
        <v>36.826536988393791</v>
      </c>
      <c r="E134" s="35"/>
      <c r="F134" s="36">
        <v>5540</v>
      </c>
      <c r="G134" s="36">
        <v>1910</v>
      </c>
      <c r="H134" s="36">
        <v>851</v>
      </c>
      <c r="I134" s="34">
        <f>(F134-'Processing costs'!C134)*100/19900</f>
        <v>26.115577889447238</v>
      </c>
      <c r="J134" s="34">
        <f>((G134-103)-'Processing costs'!E134)*100/203600</f>
        <v>0.61247544204322202</v>
      </c>
      <c r="K134" s="34">
        <f>(G134-'Processing costs'!D134-H134*8.5%)*100/10600</f>
        <v>12.053443396226415</v>
      </c>
      <c r="L134" s="35"/>
      <c r="M134" s="36">
        <v>3420</v>
      </c>
      <c r="N134" s="36">
        <f>972/1.1521</f>
        <v>843.67676416977702</v>
      </c>
      <c r="O134" s="36">
        <f t="shared" si="107"/>
        <v>5240</v>
      </c>
      <c r="P134" s="34">
        <f>(M134-'Processing costs'!G134)*100/9100</f>
        <v>32.571428571428569</v>
      </c>
      <c r="Q134" s="34">
        <f>(N134-'Processing costs'!H134)*100/16700</f>
        <v>1.8663279291603414</v>
      </c>
      <c r="R134" s="34">
        <f>(O134-'Processing costs'!I134)*100/205000</f>
        <v>2.3887804878048779</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5">
      <c r="A135" s="91"/>
      <c r="B135" s="42">
        <v>45931</v>
      </c>
      <c r="C135" s="37">
        <f t="shared" ref="C135:C136" si="109">I135+J135+K135</f>
        <v>33.556203233240005</v>
      </c>
      <c r="D135" s="37">
        <f>P135+Q135+R135</f>
        <v>33.062247170092945</v>
      </c>
      <c r="E135" s="35"/>
      <c r="F135" s="38">
        <v>4680</v>
      </c>
      <c r="G135" s="38">
        <v>1820</v>
      </c>
      <c r="H135" s="38">
        <v>864</v>
      </c>
      <c r="I135" s="37">
        <f>(F135-'Processing costs'!C135)*100/19900</f>
        <v>21.793969849246231</v>
      </c>
      <c r="J135" s="37">
        <f>((G135-103)-'Processing costs'!E135)*100/203600</f>
        <v>0.56827111984282908</v>
      </c>
      <c r="K135" s="37">
        <f>(G135-'Processing costs'!D135-H135*8.5%)*100/10600</f>
        <v>11.193962264150944</v>
      </c>
      <c r="L135" s="35"/>
      <c r="M135" s="38">
        <v>3110</v>
      </c>
      <c r="N135" s="38">
        <v>854</v>
      </c>
      <c r="O135" s="38">
        <f t="shared" si="107"/>
        <v>4380</v>
      </c>
      <c r="P135" s="37">
        <f>(M135-'Processing costs'!G135)*100/9100</f>
        <v>29.164835164835164</v>
      </c>
      <c r="Q135" s="37">
        <f>(N135-'Processing costs'!H135)*100/16700</f>
        <v>1.9281437125748504</v>
      </c>
      <c r="R135" s="37">
        <f>(O135-'Processing costs'!I135)*100/205000</f>
        <v>1.9692682926829268</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s="16" customFormat="1" x14ac:dyDescent="0.3">
      <c r="B136" s="41">
        <v>45962</v>
      </c>
      <c r="C136" s="34">
        <f t="shared" si="109"/>
        <v>31.370637659327517</v>
      </c>
      <c r="D136" s="34">
        <f>P136+Q136+R136</f>
        <v>31.475148625290291</v>
      </c>
      <c r="E136" s="35"/>
      <c r="F136" s="36">
        <v>4290</v>
      </c>
      <c r="G136" s="36">
        <v>1800</v>
      </c>
      <c r="H136" s="36">
        <v>898</v>
      </c>
      <c r="I136" s="34">
        <f>(F136-'Processing costs'!C136)*100/19900</f>
        <v>19.834170854271356</v>
      </c>
      <c r="J136" s="34">
        <f>((G136-103)-'Processing costs'!E136)*100/203600</f>
        <v>0.55844793713163066</v>
      </c>
      <c r="K136" s="34">
        <f>(G136-'Processing costs'!D136-H136*8.5%)*100/10600</f>
        <v>10.978018867924529</v>
      </c>
      <c r="L136" s="35"/>
      <c r="M136" s="36">
        <v>2960</v>
      </c>
      <c r="N136" s="36">
        <v>896</v>
      </c>
      <c r="O136" s="36">
        <f t="shared" si="107"/>
        <v>3990</v>
      </c>
      <c r="P136" s="34">
        <f>(M136-'Processing costs'!G136)*100/9100</f>
        <v>27.516483516483518</v>
      </c>
      <c r="Q136" s="34">
        <f>(N136-'Processing costs'!H136)*100/16700</f>
        <v>2.1796407185628741</v>
      </c>
      <c r="R136" s="34">
        <f>(O136-'Processing costs'!I136)*100/205000</f>
        <v>1.7790243902439025</v>
      </c>
    </row>
    <row r="137" spans="1:45" s="16" customFormat="1" x14ac:dyDescent="0.3">
      <c r="B137" s="42">
        <v>45992</v>
      </c>
      <c r="C137" s="37">
        <f t="shared" ref="C137:C138" si="110">I137+J137+K137</f>
        <v>27.755693089478982</v>
      </c>
      <c r="D137" s="37">
        <f>P137+Q137+R137</f>
        <v>29.925327014157158</v>
      </c>
      <c r="E137" s="35"/>
      <c r="F137" s="38">
        <v>3710</v>
      </c>
      <c r="G137" s="38">
        <v>1730</v>
      </c>
      <c r="H137" s="38">
        <v>905</v>
      </c>
      <c r="I137" s="37">
        <f>(F137-'Processing costs'!C137)*100/19900</f>
        <v>16.91959798994975</v>
      </c>
      <c r="J137" s="37">
        <f>((G137-103)-'Processing costs'!E137)*100/203600</f>
        <v>0.52406679764243613</v>
      </c>
      <c r="K137" s="37">
        <f>(G137-'Processing costs'!D137-H137*8.5%)*100/10600</f>
        <v>10.312028301886793</v>
      </c>
      <c r="L137" s="35"/>
      <c r="M137" s="38">
        <v>2830</v>
      </c>
      <c r="N137" s="38">
        <v>923</v>
      </c>
      <c r="O137" s="38">
        <f>F137-300</f>
        <v>3410</v>
      </c>
      <c r="P137" s="37">
        <f>(M137-'Processing costs'!G137)*100/9100</f>
        <v>26.087912087912088</v>
      </c>
      <c r="Q137" s="37">
        <f>(N137-'Processing costs'!H137)*100/16700</f>
        <v>2.341317365269461</v>
      </c>
      <c r="R137" s="37">
        <f>(O137-'Processing costs'!I137)*100/205000</f>
        <v>1.4960975609756098</v>
      </c>
    </row>
    <row r="138" spans="1:45" s="16" customFormat="1" x14ac:dyDescent="0.3">
      <c r="B138" s="41">
        <v>46023</v>
      </c>
      <c r="C138" s="34">
        <f t="shared" si="110"/>
        <v>27.978495586133953</v>
      </c>
      <c r="D138" s="34">
        <f>P138+Q138+R138</f>
        <v>30.363015453948709</v>
      </c>
      <c r="E138" s="35"/>
      <c r="F138" s="36">
        <v>3600</v>
      </c>
      <c r="G138" s="36">
        <v>1810</v>
      </c>
      <c r="H138" s="36">
        <v>928</v>
      </c>
      <c r="I138" s="34">
        <f>(F138-'Processing costs'!C138)*100/19900</f>
        <v>16.366834170854272</v>
      </c>
      <c r="J138" s="34">
        <f>((G138-103)-'Processing costs'!E138)*100/203600</f>
        <v>0.56335952848722981</v>
      </c>
      <c r="K138" s="34">
        <f>(G138-'Processing costs'!D138-H138*8.5%)*100/10600</f>
        <v>11.048301886792451</v>
      </c>
      <c r="L138" s="35"/>
      <c r="M138" s="36">
        <v>2860</v>
      </c>
      <c r="N138" s="36">
        <v>950</v>
      </c>
      <c r="O138" s="36">
        <f t="shared" ref="O138" si="111">F138-300</f>
        <v>3300</v>
      </c>
      <c r="P138" s="34">
        <f>(M138-'Processing costs'!G138)*100/9100</f>
        <v>26.417582417582416</v>
      </c>
      <c r="Q138" s="34">
        <f>(N138-'Processing costs'!H138)*100/16700</f>
        <v>2.5029940119760479</v>
      </c>
      <c r="R138" s="34">
        <f>(O138-'Processing costs'!I138)*100/205000</f>
        <v>1.4424390243902439</v>
      </c>
    </row>
    <row r="139" spans="1:45" s="16" customFormat="1" x14ac:dyDescent="0.3">
      <c r="B139" s="93"/>
      <c r="C139" s="94"/>
      <c r="D139" s="94"/>
      <c r="E139" s="35"/>
      <c r="F139" s="95"/>
      <c r="G139" s="95"/>
      <c r="H139" s="95"/>
      <c r="I139" s="94"/>
      <c r="J139" s="94"/>
      <c r="K139" s="94"/>
      <c r="L139" s="35"/>
      <c r="M139" s="95"/>
      <c r="N139" s="95"/>
      <c r="O139" s="95"/>
      <c r="P139" s="94"/>
      <c r="Q139" s="94"/>
      <c r="R139" s="94"/>
    </row>
    <row r="140" spans="1:45" x14ac:dyDescent="0.3">
      <c r="A140" s="96" t="s">
        <v>66</v>
      </c>
      <c r="B140" s="16"/>
      <c r="C140" s="16"/>
      <c r="D140" s="16"/>
      <c r="E140" s="16"/>
      <c r="F140" s="24"/>
      <c r="G140" s="24"/>
      <c r="H140" s="24"/>
      <c r="I140" s="24"/>
      <c r="J140" s="24"/>
      <c r="K140" s="24"/>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x14ac:dyDescent="0.3">
      <c r="B141" s="16"/>
      <c r="C141" s="16"/>
      <c r="D141" s="16"/>
      <c r="E141" s="16"/>
      <c r="F141" s="24"/>
      <c r="G141" s="24"/>
      <c r="H141" s="24"/>
      <c r="I141" s="24"/>
      <c r="J141" s="24"/>
      <c r="K141" s="24"/>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x14ac:dyDescent="0.3">
      <c r="B142" s="16"/>
      <c r="C142" s="16"/>
      <c r="D142" s="16"/>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1:45" x14ac:dyDescent="0.3">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t="e">
        <f>#REF!-#REF!</f>
        <v>#REF!</v>
      </c>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B228" s="16"/>
      <c r="C228" s="16"/>
      <c r="D228" s="16"/>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B229" s="16"/>
      <c r="C229" s="16"/>
      <c r="D229" s="16"/>
      <c r="E229" s="16"/>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E230" s="16"/>
      <c r="F230" s="24"/>
      <c r="G230" s="24"/>
      <c r="H230" s="24"/>
      <c r="I230" s="24"/>
      <c r="J230" s="24"/>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F231" s="24"/>
      <c r="G231" s="24"/>
      <c r="H231" s="24"/>
      <c r="I231" s="24"/>
      <c r="J231" s="24"/>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F232" s="25"/>
      <c r="G232" s="25"/>
      <c r="H232" s="25"/>
      <c r="I232" s="25"/>
      <c r="J232" s="25"/>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F233" s="25"/>
      <c r="G233" s="25"/>
      <c r="H233" s="25"/>
      <c r="I233" s="25"/>
      <c r="J233" s="25"/>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4"/>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4"/>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5"/>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5"/>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F331" s="25"/>
      <c r="G331" s="25"/>
      <c r="H331" s="25"/>
      <c r="I331" s="25"/>
      <c r="J331" s="25"/>
      <c r="K331" s="25"/>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F332" s="25"/>
      <c r="G332" s="25"/>
      <c r="H332" s="25"/>
      <c r="I332" s="25"/>
      <c r="J332" s="25"/>
      <c r="K332" s="25"/>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17: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row r="341" spans="17:45" x14ac:dyDescent="0.3">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row>
    <row r="342" spans="17:45" x14ac:dyDescent="0.3">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N117 N11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45"/>
  <sheetViews>
    <sheetView showGridLines="0" zoomScaleNormal="100" zoomScaleSheetLayoutView="143" zoomScalePageLayoutView="123" workbookViewId="0">
      <pane xSplit="2" ySplit="8" topLeftCell="C133" activePane="bottomRight" state="frozen"/>
      <selection activeCell="B107" sqref="B107"/>
      <selection pane="topRight" activeCell="B107" sqref="B107"/>
      <selection pane="bottomLeft" activeCell="B107" sqref="B107"/>
      <selection pane="bottomRight" activeCell="A5" sqref="A5"/>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60</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99" t="s">
        <v>51</v>
      </c>
      <c r="D6" s="100"/>
      <c r="E6" s="100"/>
      <c r="F6" s="16"/>
      <c r="G6" s="101" t="s">
        <v>52</v>
      </c>
      <c r="H6" s="102"/>
      <c r="I6" s="102"/>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342</v>
      </c>
      <c r="D122" s="36">
        <v>574</v>
      </c>
      <c r="E122" s="36">
        <v>574</v>
      </c>
      <c r="F122" s="35"/>
      <c r="G122" s="36">
        <v>453</v>
      </c>
      <c r="H122" s="36">
        <v>547</v>
      </c>
      <c r="I122" s="36">
        <v>342</v>
      </c>
    </row>
    <row r="123" spans="2:36" x14ac:dyDescent="0.3">
      <c r="B123" s="42">
        <v>45566</v>
      </c>
      <c r="C123" s="38">
        <v>341</v>
      </c>
      <c r="D123" s="38">
        <v>564</v>
      </c>
      <c r="E123" s="38">
        <v>564</v>
      </c>
      <c r="F123" s="35"/>
      <c r="G123" s="38">
        <v>453</v>
      </c>
      <c r="H123" s="38">
        <v>540</v>
      </c>
      <c r="I123" s="38">
        <v>341</v>
      </c>
    </row>
    <row r="124" spans="2:36" x14ac:dyDescent="0.3">
      <c r="B124" s="41">
        <v>45597</v>
      </c>
      <c r="C124" s="36">
        <v>341</v>
      </c>
      <c r="D124" s="36">
        <v>564</v>
      </c>
      <c r="E124" s="36">
        <v>564</v>
      </c>
      <c r="F124" s="35"/>
      <c r="G124" s="36">
        <v>453</v>
      </c>
      <c r="H124" s="36">
        <v>540</v>
      </c>
      <c r="I124" s="36">
        <v>341</v>
      </c>
    </row>
    <row r="125" spans="2:36" x14ac:dyDescent="0.3">
      <c r="B125" s="42">
        <v>45627</v>
      </c>
      <c r="C125" s="38">
        <v>341</v>
      </c>
      <c r="D125" s="38">
        <v>564</v>
      </c>
      <c r="E125" s="38">
        <v>564</v>
      </c>
      <c r="F125" s="35"/>
      <c r="G125" s="38">
        <v>453</v>
      </c>
      <c r="H125" s="38">
        <v>540</v>
      </c>
      <c r="I125" s="38">
        <v>341</v>
      </c>
    </row>
    <row r="126" spans="2:36" x14ac:dyDescent="0.3">
      <c r="B126" s="41">
        <v>45658</v>
      </c>
      <c r="C126" s="36">
        <v>337</v>
      </c>
      <c r="D126" s="36">
        <v>546</v>
      </c>
      <c r="E126" s="36">
        <v>546</v>
      </c>
      <c r="F126" s="35"/>
      <c r="G126" s="36">
        <v>447</v>
      </c>
      <c r="H126" s="36">
        <v>517</v>
      </c>
      <c r="I126" s="36">
        <v>336</v>
      </c>
    </row>
    <row r="127" spans="2:36" x14ac:dyDescent="0.3">
      <c r="B127" s="42">
        <v>45689</v>
      </c>
      <c r="C127" s="38">
        <v>337</v>
      </c>
      <c r="D127" s="38">
        <v>546</v>
      </c>
      <c r="E127" s="38">
        <v>546</v>
      </c>
      <c r="F127" s="35"/>
      <c r="G127" s="38">
        <v>447</v>
      </c>
      <c r="H127" s="38">
        <v>517</v>
      </c>
      <c r="I127" s="38">
        <v>336</v>
      </c>
    </row>
    <row r="128" spans="2:36" x14ac:dyDescent="0.3">
      <c r="B128" s="41">
        <v>45717</v>
      </c>
      <c r="C128" s="36">
        <v>337</v>
      </c>
      <c r="D128" s="36">
        <v>546</v>
      </c>
      <c r="E128" s="36">
        <v>546</v>
      </c>
      <c r="F128" s="35"/>
      <c r="G128" s="36">
        <v>447</v>
      </c>
      <c r="H128" s="36">
        <v>517</v>
      </c>
      <c r="I128" s="36">
        <v>336</v>
      </c>
    </row>
    <row r="129" spans="1:36" x14ac:dyDescent="0.3">
      <c r="B129" s="42">
        <v>45748</v>
      </c>
      <c r="C129" s="38">
        <v>343</v>
      </c>
      <c r="D129" s="38">
        <v>560</v>
      </c>
      <c r="E129" s="38">
        <v>560</v>
      </c>
      <c r="F129" s="35"/>
      <c r="G129" s="38">
        <v>456</v>
      </c>
      <c r="H129" s="38">
        <v>532</v>
      </c>
      <c r="I129" s="38">
        <v>343</v>
      </c>
    </row>
    <row r="130" spans="1:36" x14ac:dyDescent="0.3">
      <c r="B130" s="41">
        <v>45778</v>
      </c>
      <c r="C130" s="36">
        <v>343</v>
      </c>
      <c r="D130" s="36">
        <v>560</v>
      </c>
      <c r="E130" s="36">
        <v>560</v>
      </c>
      <c r="G130" s="36">
        <v>456</v>
      </c>
      <c r="H130" s="36">
        <v>532</v>
      </c>
      <c r="I130" s="36">
        <v>343</v>
      </c>
    </row>
    <row r="131" spans="1:36" x14ac:dyDescent="0.3">
      <c r="B131" s="42">
        <v>45809</v>
      </c>
      <c r="C131" s="38">
        <v>343</v>
      </c>
      <c r="D131" s="38">
        <v>560</v>
      </c>
      <c r="E131" s="38">
        <v>560</v>
      </c>
      <c r="F131" s="35"/>
      <c r="G131" s="38">
        <v>456</v>
      </c>
      <c r="H131" s="38">
        <v>532</v>
      </c>
      <c r="I131" s="38">
        <v>343</v>
      </c>
    </row>
    <row r="132" spans="1:36" x14ac:dyDescent="0.3">
      <c r="B132" s="41">
        <v>45839</v>
      </c>
      <c r="C132" s="36">
        <v>343</v>
      </c>
      <c r="D132" s="36">
        <v>560</v>
      </c>
      <c r="E132" s="36">
        <v>560</v>
      </c>
      <c r="G132" s="36">
        <v>456</v>
      </c>
      <c r="H132" s="36">
        <v>532</v>
      </c>
      <c r="I132" s="36">
        <v>343</v>
      </c>
    </row>
    <row r="133" spans="1:36" x14ac:dyDescent="0.3">
      <c r="B133" s="42">
        <v>45870</v>
      </c>
      <c r="C133" s="38">
        <v>343</v>
      </c>
      <c r="D133" s="38">
        <v>560</v>
      </c>
      <c r="E133" s="38">
        <v>560</v>
      </c>
      <c r="F133" s="35"/>
      <c r="G133" s="38">
        <v>456</v>
      </c>
      <c r="H133" s="38">
        <v>532</v>
      </c>
      <c r="I133" s="38">
        <v>343</v>
      </c>
    </row>
    <row r="134" spans="1:36" x14ac:dyDescent="0.3">
      <c r="A134" s="96" t="s">
        <v>53</v>
      </c>
      <c r="B134" s="41">
        <v>45901</v>
      </c>
      <c r="C134" s="36">
        <v>343</v>
      </c>
      <c r="D134" s="36">
        <v>560</v>
      </c>
      <c r="E134" s="36">
        <v>560</v>
      </c>
      <c r="G134" s="36">
        <v>456</v>
      </c>
      <c r="H134" s="36">
        <v>532</v>
      </c>
      <c r="I134" s="36">
        <v>343</v>
      </c>
    </row>
    <row r="135" spans="1:36" x14ac:dyDescent="0.3">
      <c r="B135" s="42">
        <v>45931</v>
      </c>
      <c r="C135" s="38">
        <v>343</v>
      </c>
      <c r="D135" s="38">
        <v>560</v>
      </c>
      <c r="E135" s="38">
        <v>560</v>
      </c>
      <c r="F135" s="35"/>
      <c r="G135" s="38">
        <v>456</v>
      </c>
      <c r="H135" s="38">
        <v>532</v>
      </c>
      <c r="I135" s="38">
        <v>343</v>
      </c>
    </row>
    <row r="136" spans="1:36" x14ac:dyDescent="0.3">
      <c r="B136" s="41">
        <v>45962</v>
      </c>
      <c r="C136" s="36">
        <v>343</v>
      </c>
      <c r="D136" s="36">
        <v>560</v>
      </c>
      <c r="E136" s="36">
        <v>560</v>
      </c>
      <c r="G136" s="36">
        <v>456</v>
      </c>
      <c r="H136" s="36">
        <v>532</v>
      </c>
      <c r="I136" s="36">
        <v>343</v>
      </c>
    </row>
    <row r="137" spans="1:36" x14ac:dyDescent="0.3">
      <c r="B137" s="42">
        <v>45992</v>
      </c>
      <c r="C137" s="38">
        <v>343</v>
      </c>
      <c r="D137" s="38">
        <v>560</v>
      </c>
      <c r="E137" s="38">
        <v>560</v>
      </c>
      <c r="F137" s="35"/>
      <c r="G137" s="38">
        <v>456</v>
      </c>
      <c r="H137" s="38">
        <v>532</v>
      </c>
      <c r="I137" s="38">
        <v>343</v>
      </c>
    </row>
    <row r="138" spans="1:36" x14ac:dyDescent="0.3">
      <c r="B138" s="41">
        <v>46023</v>
      </c>
      <c r="C138" s="36">
        <v>343</v>
      </c>
      <c r="D138" s="36">
        <v>560</v>
      </c>
      <c r="E138" s="36">
        <v>560</v>
      </c>
      <c r="G138" s="36">
        <v>456</v>
      </c>
      <c r="H138" s="36">
        <v>532</v>
      </c>
      <c r="I138" s="36">
        <v>343</v>
      </c>
    </row>
    <row r="140" spans="1:36" x14ac:dyDescent="0.3">
      <c r="A140" s="16" t="s">
        <v>54</v>
      </c>
      <c r="B140" s="16"/>
      <c r="C140" s="24"/>
      <c r="D140" s="24"/>
      <c r="E140" s="24"/>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row>
    <row r="141" spans="1:36" x14ac:dyDescent="0.3">
      <c r="A141" s="16" t="s">
        <v>55</v>
      </c>
      <c r="B141" s="16"/>
      <c r="C141" s="24"/>
      <c r="D141" s="24"/>
      <c r="E141" s="24"/>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row>
    <row r="142" spans="1:36" x14ac:dyDescent="0.3">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B231" s="16"/>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B232" s="16"/>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C233" s="24"/>
      <c r="D233" s="24"/>
      <c r="E233" s="24"/>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C234" s="24"/>
      <c r="D234" s="24"/>
      <c r="E234" s="24"/>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C235" s="25"/>
      <c r="D235" s="25"/>
      <c r="E235" s="25"/>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5"/>
      <c r="D236" s="25"/>
      <c r="E236" s="25"/>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C334" s="25"/>
      <c r="D334" s="25"/>
      <c r="E334" s="25"/>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C335" s="25"/>
      <c r="D335" s="25"/>
      <c r="E335" s="25"/>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10:36" x14ac:dyDescent="0.3">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10:36" x14ac:dyDescent="0.3">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10:36" x14ac:dyDescent="0.3">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10: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10: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10: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10: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row r="344" spans="10:36" x14ac:dyDescent="0.3">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row>
    <row r="345" spans="10:36" x14ac:dyDescent="0.3">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56</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99" t="s">
        <v>25</v>
      </c>
      <c r="G6" s="100"/>
      <c r="H6" s="100"/>
      <c r="I6" s="100"/>
      <c r="J6" s="100"/>
      <c r="K6" s="16"/>
      <c r="L6" s="101" t="s">
        <v>26</v>
      </c>
      <c r="M6" s="102"/>
      <c r="N6" s="102"/>
      <c r="O6" s="102"/>
      <c r="P6" s="102"/>
      <c r="Q6" s="102"/>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3" t="s">
        <v>1</v>
      </c>
      <c r="D8" s="104"/>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Q39"/>
  <sheetViews>
    <sheetView showGridLines="0" topLeftCell="A11" zoomScale="110" zoomScaleNormal="110" workbookViewId="0">
      <selection activeCell="K12" sqref="K12"/>
    </sheetView>
  </sheetViews>
  <sheetFormatPr defaultRowHeight="12.5" x14ac:dyDescent="0.25"/>
  <cols>
    <col min="1" max="1" width="8.69921875" style="2" customWidth="1"/>
    <col min="2" max="2" width="10" style="2" customWidth="1"/>
    <col min="3" max="3" width="19.69921875" style="2" customWidth="1"/>
    <col min="4" max="4" width="17.69921875" style="2" customWidth="1"/>
    <col min="5" max="5" width="19.898437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6"/>
      <c r="C2" s="110" t="s">
        <v>47</v>
      </c>
      <c r="D2" s="110"/>
      <c r="E2" s="110"/>
      <c r="F2" s="44"/>
      <c r="G2" s="45" t="s">
        <v>10</v>
      </c>
    </row>
    <row r="3" spans="1:17" ht="15" customHeight="1" x14ac:dyDescent="0.25">
      <c r="B3" s="107"/>
      <c r="C3" s="46" t="s">
        <v>2</v>
      </c>
      <c r="D3" s="46" t="s">
        <v>5</v>
      </c>
      <c r="E3" s="80" t="s">
        <v>3</v>
      </c>
      <c r="F3" s="19" t="s">
        <v>45</v>
      </c>
      <c r="G3" s="47">
        <f>B4</f>
        <v>46023</v>
      </c>
    </row>
    <row r="4" spans="1:17" ht="15.5" x14ac:dyDescent="0.25">
      <c r="B4" s="48">
        <v>46023</v>
      </c>
      <c r="C4" s="49">
        <f>VLOOKUP($B4,'AMPE-MCVE'!$B:$K,8,FALSE)</f>
        <v>16.366834170854272</v>
      </c>
      <c r="D4" s="49">
        <f>VLOOKUP($B4,'AMPE-MCVE'!$B:$K,9,FALSE)</f>
        <v>0.56335952848722981</v>
      </c>
      <c r="E4" s="49">
        <f>VLOOKUP($B4,'AMPE-MCVE'!$B:$K,10,FALSE)</f>
        <v>11.048301886792451</v>
      </c>
      <c r="F4" s="50">
        <f>VLOOKUP($B4,'AMPE-MCVE'!$B:$D,2,FALSE)</f>
        <v>27.978495586133953</v>
      </c>
      <c r="G4" s="49"/>
      <c r="P4" s="78"/>
      <c r="Q4" s="78"/>
    </row>
    <row r="5" spans="1:17" ht="15.5" x14ac:dyDescent="0.25">
      <c r="B5" s="51">
        <f>EDATE(B4,-1)</f>
        <v>45992</v>
      </c>
      <c r="C5" s="52">
        <f>VLOOKUP($B5,'AMPE-MCVE'!$B:$K,8,FALSE)</f>
        <v>16.91959798994975</v>
      </c>
      <c r="D5" s="52">
        <f>VLOOKUP($B5,'AMPE-MCVE'!$B:$K,9,FALSE)</f>
        <v>0.52406679764243613</v>
      </c>
      <c r="E5" s="52">
        <f>VLOOKUP($B5,'AMPE-MCVE'!$B:$K,10,FALSE)</f>
        <v>10.312028301886793</v>
      </c>
      <c r="F5" s="53">
        <f>VLOOKUP($B5,'AMPE-MCVE'!$B:$D,2,FALSE)</f>
        <v>27.755693089478982</v>
      </c>
      <c r="G5" s="70">
        <f>($F$4-F5)/F5</f>
        <v>8.0272719523414165E-3</v>
      </c>
      <c r="P5" s="78"/>
      <c r="Q5" s="78"/>
    </row>
    <row r="6" spans="1:17" ht="15.5" x14ac:dyDescent="0.25">
      <c r="B6" s="54">
        <f>EDATE(B4,-12)</f>
        <v>45658</v>
      </c>
      <c r="C6" s="49">
        <f>VLOOKUP($B6,'AMPE-MCVE'!$B:$K,8,FALSE)</f>
        <v>29.361809045226131</v>
      </c>
      <c r="D6" s="49">
        <f>VLOOKUP($B6,'AMPE-MCVE'!$B:$K,9,FALSE)</f>
        <v>0.70776031434184672</v>
      </c>
      <c r="E6" s="49">
        <f>VLOOKUP($B6,'AMPE-MCVE'!$B:$K,10,FALSE)</f>
        <v>13.942971698113208</v>
      </c>
      <c r="F6" s="50">
        <f>VLOOKUP($B6,'AMPE-MCVE'!$B:$D,2,FALSE)</f>
        <v>44.01254105768119</v>
      </c>
      <c r="G6" s="55">
        <f>($F$4-F6)/F6</f>
        <v>-0.36430628830390904</v>
      </c>
      <c r="P6" s="78"/>
      <c r="Q6" s="78"/>
    </row>
    <row r="7" spans="1:17" ht="15.5" x14ac:dyDescent="0.25">
      <c r="B7" s="56"/>
      <c r="C7" s="57"/>
      <c r="D7" s="57"/>
      <c r="E7" s="57"/>
      <c r="F7" s="58"/>
      <c r="G7" s="59"/>
      <c r="P7" s="78"/>
      <c r="Q7" s="78"/>
    </row>
    <row r="8" spans="1:17" ht="15.5" x14ac:dyDescent="0.35">
      <c r="B8" s="106"/>
      <c r="C8" s="105" t="s">
        <v>48</v>
      </c>
      <c r="D8" s="105"/>
      <c r="E8" s="105"/>
      <c r="F8" s="60"/>
      <c r="G8" s="45" t="s">
        <v>10</v>
      </c>
      <c r="P8" s="78"/>
      <c r="Q8" s="78"/>
    </row>
    <row r="9" spans="1:17" ht="15.5" x14ac:dyDescent="0.25">
      <c r="B9" s="107"/>
      <c r="C9" s="46" t="s">
        <v>7</v>
      </c>
      <c r="D9" s="46" t="s">
        <v>9</v>
      </c>
      <c r="E9" s="46" t="s">
        <v>8</v>
      </c>
      <c r="F9" s="19" t="s">
        <v>46</v>
      </c>
      <c r="G9" s="47">
        <f>B10</f>
        <v>46023</v>
      </c>
      <c r="P9" s="78"/>
      <c r="Q9" s="78"/>
    </row>
    <row r="10" spans="1:17" ht="15.5" x14ac:dyDescent="0.25">
      <c r="B10" s="48">
        <f>B4</f>
        <v>46023</v>
      </c>
      <c r="C10" s="49">
        <f>VLOOKUP($B10,'AMPE-MCVE'!$B:$R,15,FALSE)</f>
        <v>26.417582417582416</v>
      </c>
      <c r="D10" s="49">
        <f>VLOOKUP($B10,'AMPE-MCVE'!$B:$R,16,FALSE)</f>
        <v>2.5029940119760479</v>
      </c>
      <c r="E10" s="49">
        <f>VLOOKUP($B10,'AMPE-MCVE'!$B:$R,17,FALSE)</f>
        <v>1.4424390243902439</v>
      </c>
      <c r="F10" s="50">
        <f>VLOOKUP($B10,'AMPE-MCVE'!$B:$D,3,FALSE)</f>
        <v>30.363015453948709</v>
      </c>
      <c r="G10" s="49"/>
    </row>
    <row r="11" spans="1:17" ht="15.5" x14ac:dyDescent="0.25">
      <c r="B11" s="51">
        <f>B5</f>
        <v>45992</v>
      </c>
      <c r="C11" s="52">
        <f>VLOOKUP($B11,'AMPE-MCVE'!$B:$R,15,FALSE)</f>
        <v>26.087912087912088</v>
      </c>
      <c r="D11" s="52">
        <f>VLOOKUP($B11,'AMPE-MCVE'!$B:$R,16,FALSE)</f>
        <v>2.341317365269461</v>
      </c>
      <c r="E11" s="52">
        <f>VLOOKUP($B11,'AMPE-MCVE'!$B:$R,17,FALSE)</f>
        <v>1.4960975609756098</v>
      </c>
      <c r="F11" s="53">
        <f>VLOOKUP($B11,'AMPE-MCVE'!$B:$D,3,FALSE)</f>
        <v>29.925327014157158</v>
      </c>
      <c r="G11" s="70">
        <f>($F$10-F11)/F11</f>
        <v>1.4626020279894935E-2</v>
      </c>
    </row>
    <row r="12" spans="1:17" ht="15.5" x14ac:dyDescent="0.25">
      <c r="B12" s="54">
        <f>B6</f>
        <v>45658</v>
      </c>
      <c r="C12" s="49">
        <f>VLOOKUP($B12,'AMPE-MCVE'!$B:$R,15,FALSE)</f>
        <v>38.934065934065934</v>
      </c>
      <c r="D12" s="49">
        <f>VLOOKUP($B12,'AMPE-MCVE'!$B:$R,16,FALSE)</f>
        <v>1.8817877942744647</v>
      </c>
      <c r="E12" s="49">
        <f>VLOOKUP($B12,'AMPE-MCVE'!$B:$R,17,FALSE)</f>
        <v>2.7043902439024392</v>
      </c>
      <c r="F12" s="50">
        <f>VLOOKUP($B12,'AMPE-MCVE'!$B:$D,3,FALSE)</f>
        <v>43.520243972242838</v>
      </c>
      <c r="G12" s="55">
        <f>($F$10-F12)/F12</f>
        <v>-0.30232432811465382</v>
      </c>
    </row>
    <row r="13" spans="1:17" ht="15.5" x14ac:dyDescent="0.35">
      <c r="B13" s="61" t="s">
        <v>11</v>
      </c>
      <c r="C13" s="57"/>
      <c r="D13" s="62"/>
      <c r="E13" s="62"/>
      <c r="F13" s="62"/>
      <c r="G13" s="62"/>
    </row>
    <row r="16" spans="1:17" ht="13" hidden="1" x14ac:dyDescent="0.3">
      <c r="A16" s="73">
        <v>2014</v>
      </c>
      <c r="B16" s="86" t="s">
        <v>57</v>
      </c>
    </row>
    <row r="17" spans="2:7" ht="15.5" hidden="1" x14ac:dyDescent="0.35">
      <c r="B17" s="106"/>
      <c r="C17" s="105" t="s">
        <v>31</v>
      </c>
      <c r="D17" s="105"/>
      <c r="E17" s="105"/>
      <c r="F17" s="44"/>
      <c r="G17" s="45" t="s">
        <v>10</v>
      </c>
    </row>
    <row r="18" spans="2:7" ht="15.5" hidden="1" x14ac:dyDescent="0.25">
      <c r="B18" s="107"/>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6"/>
      <c r="C23" s="105" t="s">
        <v>32</v>
      </c>
      <c r="D23" s="105"/>
      <c r="E23" s="105"/>
      <c r="F23" s="60"/>
      <c r="G23" s="45" t="s">
        <v>10</v>
      </c>
    </row>
    <row r="24" spans="2:7" ht="12.75" hidden="1" customHeight="1" x14ac:dyDescent="0.25">
      <c r="B24" s="107"/>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5">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4">
        <f>F25-F26</f>
        <v>2.0899740312248127</v>
      </c>
      <c r="G28" s="62"/>
    </row>
    <row r="31" spans="2:7" ht="15.5" x14ac:dyDescent="0.35">
      <c r="C31" s="108" t="s">
        <v>43</v>
      </c>
      <c r="D31" s="105"/>
      <c r="E31" s="109"/>
    </row>
    <row r="32" spans="2:7" ht="15.5" x14ac:dyDescent="0.25">
      <c r="C32" s="46"/>
      <c r="D32" s="46" t="s">
        <v>1</v>
      </c>
      <c r="E32" s="46" t="s">
        <v>44</v>
      </c>
    </row>
    <row r="33" spans="1:6" ht="15.5" x14ac:dyDescent="0.25">
      <c r="C33" s="48">
        <f t="shared" ref="C33:C36" si="0">EDATE(C34,-1)</f>
        <v>45870</v>
      </c>
      <c r="D33" s="79">
        <f>VLOOKUP($C33,MMV!$B:$D,2,FALSE)</f>
        <v>41.635271917648943</v>
      </c>
      <c r="E33" s="79">
        <f>VLOOKUP($C33,MMV!$B:$D,3,FALSE)</f>
        <v>-0.5426155982646037</v>
      </c>
    </row>
    <row r="34" spans="1:6" ht="15.5" x14ac:dyDescent="0.25">
      <c r="A34" s="3"/>
      <c r="C34" s="51">
        <f t="shared" si="0"/>
        <v>45901</v>
      </c>
      <c r="D34" s="52">
        <f>VLOOKUP($C34,MMV!$B:$D,2,FALSE)</f>
        <v>37.217528936258411</v>
      </c>
      <c r="E34" s="52">
        <f>VLOOKUP($C34,MMV!$B:$D,3,FALSE)</f>
        <v>-4.417742981390532</v>
      </c>
    </row>
    <row r="35" spans="1:6" ht="15.5" x14ac:dyDescent="0.25">
      <c r="C35" s="48">
        <f t="shared" si="0"/>
        <v>45931</v>
      </c>
      <c r="D35" s="49">
        <f>VLOOKUP($C35,MMV!$B:$D,2,FALSE)</f>
        <v>33.16103838272236</v>
      </c>
      <c r="E35" s="49">
        <f>VLOOKUP($C35,MMV!$B:$D,3,FALSE)</f>
        <v>-4.0564905535360509</v>
      </c>
    </row>
    <row r="36" spans="1:6" ht="15.5" x14ac:dyDescent="0.25">
      <c r="C36" s="51">
        <f t="shared" si="0"/>
        <v>45962</v>
      </c>
      <c r="D36" s="52">
        <f>VLOOKUP($C36,MMV!$B:$D,2,FALSE)</f>
        <v>31.454246432097737</v>
      </c>
      <c r="E36" s="52">
        <f>VLOOKUP($C36,MMV!$B:$D,3,FALSE)</f>
        <v>-1.7067919506246234</v>
      </c>
    </row>
    <row r="37" spans="1:6" ht="15.5" x14ac:dyDescent="0.25">
      <c r="C37" s="48">
        <f>EDATE(C38,-1)</f>
        <v>45992</v>
      </c>
      <c r="D37" s="49">
        <f>VLOOKUP($C37,MMV!$B:$D,2,FALSE)</f>
        <v>29.491400229221526</v>
      </c>
      <c r="E37" s="49">
        <f>VLOOKUP($C37,MMV!$B:$D,3,FALSE)</f>
        <v>-1.9628462028762108</v>
      </c>
    </row>
    <row r="38" spans="1:6" ht="15.5" x14ac:dyDescent="0.25">
      <c r="C38" s="51">
        <f>B4</f>
        <v>46023</v>
      </c>
      <c r="D38" s="52">
        <f>VLOOKUP($C38,MMV!$B:$D,2,FALSE)</f>
        <v>29.886111480385757</v>
      </c>
      <c r="E38" s="52">
        <f>VLOOKUP($C38,MMV!$B:$D,3,FALSE)</f>
        <v>0.39471125116423167</v>
      </c>
      <c r="F38" s="89"/>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zoomScale="89" zoomScaleNormal="110" workbookViewId="0">
      <selection activeCell="W19" sqref="W19"/>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3"/>
  <sheetViews>
    <sheetView showGridLines="0" topLeftCell="A14" zoomScaleNormal="100" workbookViewId="0">
      <selection activeCell="A24" sqref="A24"/>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1" t="s">
        <v>39</v>
      </c>
      <c r="B4" s="111"/>
      <c r="C4" s="111"/>
      <c r="D4" s="111"/>
      <c r="E4" s="111"/>
      <c r="F4" s="111"/>
      <c r="G4" s="111"/>
      <c r="H4" s="111"/>
      <c r="I4" s="111"/>
      <c r="J4" s="111"/>
      <c r="K4" s="111"/>
    </row>
    <row r="5" spans="1:11" s="27" customFormat="1" ht="34.5" customHeight="1" x14ac:dyDescent="0.3">
      <c r="A5" s="111"/>
      <c r="B5" s="111"/>
      <c r="C5" s="111"/>
      <c r="D5" s="111"/>
      <c r="E5" s="111"/>
      <c r="F5" s="111"/>
      <c r="G5" s="111"/>
      <c r="H5" s="111"/>
      <c r="I5" s="111"/>
      <c r="J5" s="111"/>
      <c r="K5" s="111"/>
    </row>
    <row r="6" spans="1:11" s="27" customFormat="1" ht="34.5" customHeight="1" x14ac:dyDescent="0.3">
      <c r="A6" s="120" t="s">
        <v>62</v>
      </c>
      <c r="B6" s="120"/>
      <c r="C6" s="120"/>
      <c r="D6" s="120"/>
      <c r="E6" s="120"/>
      <c r="F6" s="120"/>
      <c r="G6" s="120"/>
      <c r="H6" s="120"/>
      <c r="I6" s="120"/>
      <c r="J6" s="120"/>
      <c r="K6" s="92"/>
    </row>
    <row r="7" spans="1:11" s="29" customFormat="1" ht="21" customHeight="1" x14ac:dyDescent="0.35">
      <c r="A7" s="29" t="s">
        <v>34</v>
      </c>
    </row>
    <row r="8" spans="1:11" s="29" customFormat="1" ht="21" customHeight="1" x14ac:dyDescent="0.35">
      <c r="A8" s="90" t="s">
        <v>59</v>
      </c>
    </row>
    <row r="9" spans="1:11" s="27" customFormat="1" ht="51" customHeight="1" x14ac:dyDescent="0.3">
      <c r="A9" s="112" t="s">
        <v>20</v>
      </c>
      <c r="B9" s="112"/>
      <c r="C9" s="112"/>
      <c r="D9" s="112"/>
      <c r="E9" s="112"/>
      <c r="F9" s="112"/>
      <c r="G9" s="112"/>
      <c r="H9" s="112"/>
      <c r="I9" s="112"/>
      <c r="J9" s="112"/>
      <c r="K9" s="112"/>
    </row>
    <row r="10" spans="1:11" s="27" customFormat="1" ht="9.75" customHeight="1" x14ac:dyDescent="0.3"/>
    <row r="11" spans="1:11" s="27" customFormat="1" x14ac:dyDescent="0.3">
      <c r="A11" s="81" t="s">
        <v>33</v>
      </c>
    </row>
    <row r="12" spans="1:11" s="27" customFormat="1" ht="15" customHeight="1" thickBot="1" x14ac:dyDescent="0.35"/>
    <row r="13" spans="1:11" x14ac:dyDescent="0.35">
      <c r="A13" s="114" t="s">
        <v>12</v>
      </c>
      <c r="B13" s="114"/>
      <c r="C13" s="114"/>
      <c r="D13" s="114"/>
      <c r="E13" s="114"/>
      <c r="F13" s="114"/>
      <c r="G13" s="114"/>
      <c r="H13" s="114"/>
      <c r="I13" s="114"/>
      <c r="J13" s="114"/>
      <c r="K13" s="114"/>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5" t="s">
        <v>13</v>
      </c>
      <c r="B16" s="115"/>
      <c r="C16" s="115"/>
      <c r="D16" s="115"/>
      <c r="E16" s="115"/>
      <c r="F16" s="115"/>
      <c r="G16" s="115"/>
      <c r="H16" s="115"/>
      <c r="I16" s="115"/>
      <c r="J16" s="115"/>
      <c r="K16" s="115"/>
    </row>
    <row r="17" spans="1:11" s="30" customFormat="1" ht="13.4" customHeight="1" x14ac:dyDescent="0.3">
      <c r="A17" s="115"/>
      <c r="B17" s="115"/>
      <c r="C17" s="115"/>
      <c r="D17" s="115"/>
      <c r="E17" s="115"/>
      <c r="F17" s="115"/>
      <c r="G17" s="115"/>
      <c r="H17" s="115"/>
      <c r="I17" s="115"/>
      <c r="J17" s="115"/>
      <c r="K17" s="115"/>
    </row>
    <row r="18" spans="1:11" s="30" customFormat="1" ht="13.4" customHeight="1" x14ac:dyDescent="0.3">
      <c r="A18" s="115"/>
      <c r="B18" s="115"/>
      <c r="C18" s="115"/>
      <c r="D18" s="115"/>
      <c r="E18" s="115"/>
      <c r="F18" s="115"/>
      <c r="G18" s="115"/>
      <c r="H18" s="115"/>
      <c r="I18" s="115"/>
      <c r="J18" s="115"/>
      <c r="K18" s="115"/>
    </row>
    <row r="19" spans="1:11" s="30" customFormat="1" ht="13.4" customHeight="1" x14ac:dyDescent="0.3">
      <c r="A19" s="115"/>
      <c r="B19" s="115"/>
      <c r="C19" s="115"/>
      <c r="D19" s="115"/>
      <c r="E19" s="115"/>
      <c r="F19" s="115"/>
      <c r="G19" s="115"/>
      <c r="H19" s="115"/>
      <c r="I19" s="115"/>
      <c r="J19" s="115"/>
      <c r="K19" s="115"/>
    </row>
    <row r="20" spans="1:11" s="30" customFormat="1" x14ac:dyDescent="0.3">
      <c r="A20" s="115"/>
      <c r="B20" s="115"/>
      <c r="C20" s="115"/>
      <c r="D20" s="115"/>
      <c r="E20" s="115"/>
      <c r="F20" s="115"/>
      <c r="G20" s="115"/>
      <c r="H20" s="115"/>
      <c r="I20" s="115"/>
      <c r="J20" s="115"/>
      <c r="K20" s="115"/>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5"/>
      <c r="B22" s="115"/>
      <c r="C22" s="115"/>
      <c r="D22" s="115"/>
      <c r="E22" s="115"/>
      <c r="F22" s="115"/>
      <c r="G22" s="115"/>
      <c r="H22" s="115"/>
      <c r="I22" s="115"/>
      <c r="J22" s="115"/>
      <c r="K22" s="115"/>
    </row>
    <row r="23" spans="1:11" s="30" customFormat="1" ht="15" customHeight="1" x14ac:dyDescent="0.3">
      <c r="A23" s="115" t="s">
        <v>65</v>
      </c>
      <c r="B23" s="115"/>
      <c r="C23" s="115"/>
      <c r="D23" s="115"/>
      <c r="E23" s="115"/>
      <c r="F23" s="115"/>
      <c r="G23" s="115"/>
      <c r="H23" s="115"/>
      <c r="I23" s="115"/>
      <c r="J23" s="115"/>
      <c r="K23" s="115"/>
    </row>
    <row r="24" spans="1:11" ht="15" customHeight="1" thickBot="1" x14ac:dyDescent="0.35">
      <c r="A24" s="65"/>
      <c r="B24" s="65"/>
      <c r="C24" s="65"/>
      <c r="D24" s="65"/>
      <c r="E24" s="65"/>
      <c r="F24" s="65"/>
      <c r="G24" s="65"/>
      <c r="H24" s="65"/>
      <c r="I24" s="65"/>
      <c r="J24" s="65"/>
      <c r="K24" s="65"/>
    </row>
    <row r="25" spans="1:11" x14ac:dyDescent="0.35">
      <c r="A25" s="114" t="s">
        <v>14</v>
      </c>
      <c r="B25" s="114"/>
      <c r="C25" s="114"/>
      <c r="D25" s="114"/>
      <c r="E25" s="114"/>
      <c r="F25" s="114"/>
      <c r="G25" s="114"/>
      <c r="H25" s="114"/>
      <c r="I25" s="114"/>
      <c r="J25" s="114"/>
      <c r="K25" s="114"/>
    </row>
    <row r="26" spans="1:11" ht="15" customHeight="1" x14ac:dyDescent="0.35">
      <c r="A26" s="64"/>
      <c r="B26" s="64"/>
      <c r="C26" s="64"/>
      <c r="D26" s="64"/>
      <c r="E26" s="64"/>
      <c r="F26" s="64"/>
      <c r="G26" s="64"/>
      <c r="H26" s="64"/>
      <c r="I26" s="64"/>
      <c r="J26" s="64"/>
      <c r="K26" s="64"/>
    </row>
    <row r="27" spans="1:11" x14ac:dyDescent="0.3">
      <c r="A27" s="116" t="s">
        <v>23</v>
      </c>
      <c r="B27" s="117" t="s">
        <v>58</v>
      </c>
      <c r="C27" s="118"/>
      <c r="D27" s="118"/>
      <c r="E27" s="118"/>
      <c r="F27" s="118"/>
      <c r="G27" s="118"/>
      <c r="H27" s="118"/>
      <c r="I27" s="118"/>
      <c r="J27" s="118"/>
      <c r="K27" s="118"/>
    </row>
    <row r="28" spans="1:11" x14ac:dyDescent="0.3">
      <c r="A28" s="116"/>
      <c r="B28" s="118"/>
      <c r="C28" s="118"/>
      <c r="D28" s="118"/>
      <c r="E28" s="118"/>
      <c r="F28" s="118"/>
      <c r="G28" s="118"/>
      <c r="H28" s="118"/>
      <c r="I28" s="118"/>
      <c r="J28" s="118"/>
      <c r="K28" s="118"/>
    </row>
    <row r="29" spans="1:11" x14ac:dyDescent="0.3">
      <c r="A29" s="65"/>
      <c r="B29" s="118"/>
      <c r="C29" s="118"/>
      <c r="D29" s="118"/>
      <c r="E29" s="118"/>
      <c r="F29" s="118"/>
      <c r="G29" s="118"/>
      <c r="H29" s="118"/>
      <c r="I29" s="118"/>
      <c r="J29" s="118"/>
      <c r="K29" s="118"/>
    </row>
    <row r="30" spans="1:11" x14ac:dyDescent="0.3">
      <c r="B30" s="118"/>
      <c r="C30" s="118"/>
      <c r="D30" s="118"/>
      <c r="E30" s="118"/>
      <c r="F30" s="118"/>
      <c r="G30" s="118"/>
      <c r="H30" s="118"/>
      <c r="I30" s="118"/>
      <c r="J30" s="118"/>
      <c r="K30" s="118"/>
    </row>
    <row r="31" spans="1:11" x14ac:dyDescent="0.3">
      <c r="B31" s="118"/>
      <c r="C31" s="118"/>
      <c r="D31" s="118"/>
      <c r="E31" s="118"/>
      <c r="F31" s="118"/>
      <c r="G31" s="118"/>
      <c r="H31" s="118"/>
      <c r="I31" s="118"/>
      <c r="J31" s="118"/>
      <c r="K31" s="118"/>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19" t="s">
        <v>19</v>
      </c>
      <c r="C34" s="119"/>
      <c r="D34" s="119"/>
      <c r="E34" s="119"/>
      <c r="F34" s="119"/>
      <c r="G34" s="119"/>
      <c r="H34" s="119"/>
      <c r="I34" s="119"/>
      <c r="J34" s="119"/>
      <c r="K34" s="119"/>
    </row>
    <row r="35" spans="1:11" ht="15" customHeight="1" thickBot="1" x14ac:dyDescent="0.35">
      <c r="A35" s="69"/>
      <c r="B35" s="113"/>
      <c r="C35" s="113"/>
      <c r="D35" s="113"/>
      <c r="E35" s="113"/>
      <c r="F35" s="113"/>
      <c r="G35" s="113"/>
      <c r="H35" s="113"/>
      <c r="I35" s="113"/>
      <c r="J35" s="113"/>
      <c r="K35" s="113"/>
    </row>
    <row r="43" spans="1:11" x14ac:dyDescent="0.3">
      <c r="A43" s="32"/>
      <c r="B43" s="32"/>
      <c r="C43" s="32"/>
      <c r="D43" s="32"/>
      <c r="E43" s="32"/>
      <c r="F43" s="32"/>
      <c r="G43" s="32"/>
      <c r="H43" s="32"/>
      <c r="I43" s="32"/>
      <c r="J43" s="32"/>
      <c r="K43" s="32"/>
    </row>
  </sheetData>
  <mergeCells count="12">
    <mergeCell ref="A4:K5"/>
    <mergeCell ref="A9:K9"/>
    <mergeCell ref="B35:K35"/>
    <mergeCell ref="A13:K13"/>
    <mergeCell ref="A16:K20"/>
    <mergeCell ref="A22:K22"/>
    <mergeCell ref="A23:K23"/>
    <mergeCell ref="A25:K25"/>
    <mergeCell ref="A27:A28"/>
    <mergeCell ref="B27:K31"/>
    <mergeCell ref="B34:K34"/>
    <mergeCell ref="A6:J6"/>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MMV</vt:lpstr>
      <vt:lpstr>AMPE-MCVE</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2026-01-23T12:36:40Z</dcterms:modified>
</cp:coreProperties>
</file>